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Hs_DiurMemshalti\03 תל אביב והמרכז\1. נושאים כלליים רוחביים\מכרזים\מכרז פתח תקוה 2022\פרוגרמות מאושרות עי ליאה כלל משרדים\"/>
    </mc:Choice>
  </mc:AlternateContent>
  <bookViews>
    <workbookView xWindow="-105" yWindow="-105" windowWidth="19425" windowHeight="10425" firstSheet="8" activeTab="12"/>
  </bookViews>
  <sheets>
    <sheet name="ריכוז שטחים" sheetId="1" r:id="rId1"/>
    <sheet name="משרד הבריאות - נפה" sheetId="15" r:id="rId2"/>
    <sheet name="משרד המשפטים - טאבו פתח תקווה " sheetId="16" r:id="rId3"/>
    <sheet name="רשות המיסים - מעמ פ&quot;ת " sheetId="14" r:id="rId4"/>
    <sheet name="רשות המיסים - מס הכנסה" sheetId="18" r:id="rId5"/>
    <sheet name="רשות המיסים - מיסוי מקרקעין" sheetId="19" r:id="rId6"/>
    <sheet name="רשות המיסים- מוקד פיצויים" sheetId="17" r:id="rId7"/>
    <sheet name="שרות התעסוקה" sheetId="21" r:id="rId8"/>
    <sheet name="משרד הרווחה" sheetId="22" r:id="rId9"/>
    <sheet name="משרד התחבורה רישוי" sheetId="24" r:id="rId10"/>
    <sheet name="משרד הקליטה" sheetId="20" r:id="rId11"/>
    <sheet name="מתחם מחלקת ביטחון" sheetId="11" r:id="rId12"/>
    <sheet name="שטחים משותפים בניינים" sheetId="12" r:id="rId13"/>
    <sheet name="גיליון1" sheetId="25" r:id="rId14"/>
  </sheets>
  <externalReferences>
    <externalReference r:id="rId15"/>
    <externalReference r:id="rId16"/>
  </externalReferences>
  <definedNames>
    <definedName name="_xlnm._FilterDatabase" localSheetId="2" hidden="1">'משרד המשפטים - טאבו פתח תקווה '!$A$4:$W$58</definedName>
    <definedName name="KKL">[1]גיליון2!$A$4:$C$18</definedName>
    <definedName name="_xlnm.Print_Area" localSheetId="2">'משרד המשפטים - טאבו פתח תקווה '!$A$1:$T$58</definedName>
    <definedName name="_xlnm.Print_Area" localSheetId="0">'ריכוז שטחים'!$A$1:$L$20</definedName>
    <definedName name="_xlnm.Print_Area" localSheetId="6">'רשות המיסים- מוקד פיצויים'!$A$1:$J$27</definedName>
    <definedName name="_xlnm.Print_Area" localSheetId="5">'רשות המיסים - מיסוי מקרקעין'!$A$1:$K$60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1" l="1"/>
  <c r="L9" i="1"/>
  <c r="L10" i="1"/>
  <c r="L8" i="1"/>
  <c r="L5" i="1"/>
  <c r="J9" i="1"/>
  <c r="J10" i="1"/>
  <c r="J11" i="1"/>
  <c r="L4" i="1"/>
  <c r="L3" i="1"/>
  <c r="L2" i="1"/>
  <c r="G4" i="12"/>
  <c r="D11" i="1" l="1"/>
  <c r="D10" i="1"/>
  <c r="D8" i="1"/>
  <c r="D7" i="1"/>
  <c r="D6" i="1"/>
  <c r="D5" i="1"/>
  <c r="D4" i="1"/>
  <c r="H12" i="24"/>
  <c r="H13" i="24"/>
  <c r="H14" i="24" s="1"/>
  <c r="H15" i="24" s="1"/>
  <c r="C13" i="24"/>
  <c r="H10" i="24"/>
  <c r="D13" i="24"/>
  <c r="H11" i="24"/>
  <c r="H9" i="24"/>
  <c r="H7" i="24"/>
  <c r="H6" i="24"/>
  <c r="H4" i="24"/>
  <c r="H3" i="24"/>
  <c r="H5" i="24" l="1"/>
  <c r="H8" i="24"/>
  <c r="D50" i="22" l="1"/>
  <c r="D51" i="22" s="1"/>
  <c r="D9" i="1" s="1"/>
  <c r="F19" i="21"/>
  <c r="F20" i="21" s="1"/>
  <c r="F18" i="21"/>
  <c r="F17" i="21"/>
  <c r="F16" i="21"/>
  <c r="F15" i="21"/>
  <c r="F14" i="21"/>
  <c r="F13" i="21"/>
  <c r="F12" i="21"/>
  <c r="F11" i="21"/>
  <c r="F10" i="21"/>
  <c r="F9" i="21"/>
  <c r="F8" i="21"/>
  <c r="F7" i="21"/>
  <c r="F6" i="21"/>
  <c r="F5" i="21"/>
  <c r="G15" i="20" l="1"/>
  <c r="G14" i="20"/>
  <c r="G13" i="20"/>
  <c r="G12" i="20"/>
  <c r="G11" i="20"/>
  <c r="G10" i="20"/>
  <c r="G9" i="20"/>
  <c r="G8" i="20"/>
  <c r="G16" i="20" s="1"/>
  <c r="G17" i="20" s="1"/>
  <c r="G7" i="20"/>
  <c r="H51" i="19" l="1"/>
  <c r="G51" i="19"/>
  <c r="G53" i="19" s="1"/>
  <c r="I50" i="19"/>
  <c r="I49" i="19"/>
  <c r="I48" i="19"/>
  <c r="I47" i="19"/>
  <c r="I46" i="19"/>
  <c r="I45" i="19"/>
  <c r="I44" i="19"/>
  <c r="I51" i="19" s="1"/>
  <c r="H43" i="19"/>
  <c r="H53" i="19" s="1"/>
  <c r="G43" i="19"/>
  <c r="E43" i="19"/>
  <c r="E53" i="19" s="1"/>
  <c r="D43" i="19"/>
  <c r="D53" i="19" s="1"/>
  <c r="I42" i="19"/>
  <c r="I41" i="19"/>
  <c r="I40" i="19"/>
  <c r="I39" i="19"/>
  <c r="I43" i="19" s="1"/>
  <c r="F39" i="19"/>
  <c r="I38" i="19"/>
  <c r="F38" i="19"/>
  <c r="I37" i="19"/>
  <c r="F37" i="19"/>
  <c r="I36" i="19"/>
  <c r="F36" i="19"/>
  <c r="F43" i="19" s="1"/>
  <c r="H35" i="19"/>
  <c r="G35" i="19"/>
  <c r="E35" i="19"/>
  <c r="D35" i="19"/>
  <c r="I34" i="19"/>
  <c r="F34" i="19"/>
  <c r="F35" i="19" s="1"/>
  <c r="I33" i="19"/>
  <c r="I35" i="19" s="1"/>
  <c r="F33" i="19"/>
  <c r="H32" i="19"/>
  <c r="G32" i="19"/>
  <c r="E32" i="19"/>
  <c r="D32" i="19"/>
  <c r="I31" i="19"/>
  <c r="I30" i="19"/>
  <c r="F30" i="19"/>
  <c r="I29" i="19"/>
  <c r="F29" i="19"/>
  <c r="I28" i="19"/>
  <c r="F28" i="19"/>
  <c r="I27" i="19"/>
  <c r="I32" i="19" s="1"/>
  <c r="F27" i="19"/>
  <c r="F32" i="19" s="1"/>
  <c r="H26" i="19"/>
  <c r="G26" i="19"/>
  <c r="E26" i="19"/>
  <c r="D26" i="19"/>
  <c r="I25" i="19"/>
  <c r="I26" i="19" s="1"/>
  <c r="F25" i="19"/>
  <c r="F26" i="19" s="1"/>
  <c r="H24" i="19"/>
  <c r="G24" i="19"/>
  <c r="E24" i="19"/>
  <c r="D24" i="19"/>
  <c r="I20" i="19"/>
  <c r="I19" i="19"/>
  <c r="F19" i="19"/>
  <c r="I18" i="19"/>
  <c r="F18" i="19"/>
  <c r="I17" i="19"/>
  <c r="I16" i="19"/>
  <c r="I15" i="19"/>
  <c r="F15" i="19"/>
  <c r="I14" i="19"/>
  <c r="F14" i="19"/>
  <c r="I13" i="19"/>
  <c r="F13" i="19"/>
  <c r="I12" i="19"/>
  <c r="F12" i="19"/>
  <c r="I11" i="19"/>
  <c r="I24" i="19" s="1"/>
  <c r="F11" i="19"/>
  <c r="F24" i="19" s="1"/>
  <c r="I53" i="19" l="1"/>
  <c r="I55" i="19" s="1"/>
  <c r="F53" i="19"/>
  <c r="H84" i="18" l="1"/>
  <c r="E84" i="18"/>
  <c r="D84" i="18"/>
  <c r="I83" i="18"/>
  <c r="I82" i="18"/>
  <c r="G79" i="18"/>
  <c r="I79" i="18" s="1"/>
  <c r="I78" i="18"/>
  <c r="I77" i="18"/>
  <c r="I76" i="18"/>
  <c r="I75" i="18"/>
  <c r="I74" i="18"/>
  <c r="I73" i="18"/>
  <c r="I72" i="18"/>
  <c r="F72" i="18"/>
  <c r="I71" i="18"/>
  <c r="I70" i="18"/>
  <c r="I84" i="18" s="1"/>
  <c r="F70" i="18"/>
  <c r="F84" i="18" s="1"/>
  <c r="H69" i="18"/>
  <c r="G69" i="18"/>
  <c r="E69" i="18"/>
  <c r="D69" i="18"/>
  <c r="I68" i="18"/>
  <c r="F68" i="18"/>
  <c r="I67" i="18"/>
  <c r="I69" i="18" s="1"/>
  <c r="F67" i="18"/>
  <c r="F66" i="18"/>
  <c r="F69" i="18" s="1"/>
  <c r="H65" i="18"/>
  <c r="G65" i="18"/>
  <c r="F65" i="18"/>
  <c r="E65" i="18"/>
  <c r="D65" i="18"/>
  <c r="I64" i="18"/>
  <c r="F64" i="18"/>
  <c r="I63" i="18"/>
  <c r="I65" i="18" s="1"/>
  <c r="F63" i="18"/>
  <c r="F62" i="18"/>
  <c r="H61" i="18"/>
  <c r="G61" i="18"/>
  <c r="F61" i="18"/>
  <c r="E61" i="18"/>
  <c r="D61" i="18"/>
  <c r="I60" i="18"/>
  <c r="H59" i="18"/>
  <c r="I59" i="18" s="1"/>
  <c r="I58" i="18"/>
  <c r="F58" i="18"/>
  <c r="I57" i="18"/>
  <c r="F57" i="18"/>
  <c r="I56" i="18"/>
  <c r="F56" i="18"/>
  <c r="I55" i="18"/>
  <c r="F55" i="18"/>
  <c r="F54" i="18"/>
  <c r="H53" i="18"/>
  <c r="G53" i="18"/>
  <c r="E53" i="18"/>
  <c r="D53" i="18"/>
  <c r="I52" i="18"/>
  <c r="F52" i="18"/>
  <c r="I51" i="18"/>
  <c r="I53" i="18" s="1"/>
  <c r="F51" i="18"/>
  <c r="I50" i="18"/>
  <c r="F50" i="18"/>
  <c r="F53" i="18" s="1"/>
  <c r="I49" i="18"/>
  <c r="H49" i="18"/>
  <c r="G49" i="18"/>
  <c r="F49" i="18"/>
  <c r="E49" i="18"/>
  <c r="D49" i="18"/>
  <c r="I48" i="18"/>
  <c r="F48" i="18"/>
  <c r="F47" i="18"/>
  <c r="H46" i="18"/>
  <c r="G46" i="18"/>
  <c r="E46" i="18"/>
  <c r="D46" i="18"/>
  <c r="I45" i="18"/>
  <c r="I44" i="18"/>
  <c r="H44" i="18"/>
  <c r="I43" i="18"/>
  <c r="F43" i="18"/>
  <c r="I42" i="18"/>
  <c r="F42" i="18"/>
  <c r="F46" i="18" s="1"/>
  <c r="I41" i="18"/>
  <c r="F41" i="18"/>
  <c r="I40" i="18"/>
  <c r="I46" i="18" s="1"/>
  <c r="F40" i="18"/>
  <c r="F39" i="18"/>
  <c r="H38" i="18"/>
  <c r="G38" i="18"/>
  <c r="E38" i="18"/>
  <c r="D38" i="18"/>
  <c r="I37" i="18"/>
  <c r="I36" i="18"/>
  <c r="F36" i="18"/>
  <c r="I35" i="18"/>
  <c r="I34" i="18"/>
  <c r="F34" i="18"/>
  <c r="I33" i="18"/>
  <c r="F33" i="18"/>
  <c r="F32" i="18"/>
  <c r="I32" i="18" s="1"/>
  <c r="I31" i="18"/>
  <c r="I38" i="18" s="1"/>
  <c r="F31" i="18"/>
  <c r="F38" i="18" s="1"/>
  <c r="H30" i="18"/>
  <c r="G30" i="18"/>
  <c r="F30" i="18"/>
  <c r="E30" i="18"/>
  <c r="D30" i="18"/>
  <c r="I29" i="18"/>
  <c r="I28" i="18"/>
  <c r="I27" i="18"/>
  <c r="I30" i="18" s="1"/>
  <c r="I26" i="18"/>
  <c r="F26" i="18"/>
  <c r="I25" i="18"/>
  <c r="H25" i="18"/>
  <c r="G25" i="18"/>
  <c r="F25" i="18"/>
  <c r="E25" i="18"/>
  <c r="D25" i="18"/>
  <c r="F24" i="18"/>
  <c r="H23" i="18"/>
  <c r="G23" i="18"/>
  <c r="E23" i="18"/>
  <c r="E86" i="18" s="1"/>
  <c r="D23" i="18"/>
  <c r="I19" i="18"/>
  <c r="I18" i="18"/>
  <c r="F18" i="18"/>
  <c r="I17" i="18"/>
  <c r="F17" i="18"/>
  <c r="I16" i="18"/>
  <c r="F16" i="18"/>
  <c r="F15" i="18"/>
  <c r="F23" i="18" s="1"/>
  <c r="I14" i="18"/>
  <c r="I13" i="18"/>
  <c r="I23" i="18" s="1"/>
  <c r="F12" i="18"/>
  <c r="F11" i="18"/>
  <c r="F10" i="18"/>
  <c r="I61" i="18" l="1"/>
  <c r="I86" i="18"/>
  <c r="I88" i="18" s="1"/>
  <c r="G84" i="18"/>
  <c r="G86" i="18" s="1"/>
  <c r="H24" i="17" l="1"/>
  <c r="E24" i="17"/>
  <c r="D24" i="17"/>
  <c r="C24" i="17"/>
  <c r="I22" i="17"/>
  <c r="I21" i="17"/>
  <c r="I20" i="17"/>
  <c r="I19" i="17"/>
  <c r="I18" i="17"/>
  <c r="I17" i="17"/>
  <c r="G16" i="17"/>
  <c r="I16" i="17" s="1"/>
  <c r="I15" i="17"/>
  <c r="I14" i="17"/>
  <c r="I13" i="17"/>
  <c r="I12" i="17"/>
  <c r="I11" i="17"/>
  <c r="I24" i="17" s="1"/>
  <c r="H27" i="17" s="1"/>
  <c r="S57" i="16" l="1"/>
  <c r="S56" i="16"/>
  <c r="J56" i="16"/>
  <c r="I56" i="16"/>
  <c r="H56" i="16"/>
  <c r="G56" i="16"/>
  <c r="F56" i="16"/>
  <c r="N55" i="16"/>
  <c r="Q55" i="16" s="1"/>
  <c r="N54" i="16"/>
  <c r="Q54" i="16" s="1"/>
  <c r="Q53" i="16"/>
  <c r="N53" i="16"/>
  <c r="N52" i="16"/>
  <c r="P52" i="16" s="1"/>
  <c r="N51" i="16"/>
  <c r="Q51" i="16" s="1"/>
  <c r="N50" i="16"/>
  <c r="R50" i="16" s="1"/>
  <c r="N49" i="16"/>
  <c r="R49" i="16" s="1"/>
  <c r="N48" i="16"/>
  <c r="Q48" i="16" s="1"/>
  <c r="C45" i="16" s="1"/>
  <c r="Q47" i="16"/>
  <c r="N47" i="16"/>
  <c r="Q46" i="16"/>
  <c r="Q45" i="16"/>
  <c r="N45" i="16"/>
  <c r="K44" i="16"/>
  <c r="L44" i="16" s="1"/>
  <c r="N44" i="16" s="1"/>
  <c r="P44" i="16" s="1"/>
  <c r="K43" i="16"/>
  <c r="L43" i="16" s="1"/>
  <c r="N43" i="16" s="1"/>
  <c r="P43" i="16" s="1"/>
  <c r="Q42" i="16"/>
  <c r="N42" i="16"/>
  <c r="N41" i="16"/>
  <c r="Q41" i="16" s="1"/>
  <c r="C41" i="16" s="1"/>
  <c r="K40" i="16"/>
  <c r="L40" i="16" s="1"/>
  <c r="N40" i="16" s="1"/>
  <c r="P40" i="16" s="1"/>
  <c r="N39" i="16"/>
  <c r="Q39" i="16" s="1"/>
  <c r="M38" i="16"/>
  <c r="K38" i="16"/>
  <c r="L38" i="16" s="1"/>
  <c r="N37" i="16"/>
  <c r="Q37" i="16" s="1"/>
  <c r="C34" i="16" s="1"/>
  <c r="Q36" i="16"/>
  <c r="N36" i="16"/>
  <c r="Q35" i="16"/>
  <c r="Q34" i="16"/>
  <c r="N34" i="16"/>
  <c r="N33" i="16"/>
  <c r="Q33" i="16" s="1"/>
  <c r="Q32" i="16"/>
  <c r="N32" i="16"/>
  <c r="N31" i="16"/>
  <c r="Q31" i="16" s="1"/>
  <c r="N30" i="16"/>
  <c r="P30" i="16" s="1"/>
  <c r="C30" i="16" s="1"/>
  <c r="M29" i="16"/>
  <c r="K29" i="16"/>
  <c r="L29" i="16" s="1"/>
  <c r="K28" i="16"/>
  <c r="L28" i="16" s="1"/>
  <c r="N28" i="16" s="1"/>
  <c r="P28" i="16" s="1"/>
  <c r="K27" i="16"/>
  <c r="L27" i="16" s="1"/>
  <c r="N27" i="16" s="1"/>
  <c r="P27" i="16" s="1"/>
  <c r="R26" i="16"/>
  <c r="R56" i="16" s="1"/>
  <c r="R57" i="16" s="1"/>
  <c r="N26" i="16"/>
  <c r="N25" i="16"/>
  <c r="Q25" i="16" s="1"/>
  <c r="M24" i="16"/>
  <c r="K24" i="16"/>
  <c r="L24" i="16" s="1"/>
  <c r="Q23" i="16"/>
  <c r="Q22" i="16"/>
  <c r="N22" i="16"/>
  <c r="Q21" i="16"/>
  <c r="N21" i="16"/>
  <c r="Q20" i="16"/>
  <c r="C18" i="16" s="1"/>
  <c r="C24" i="16" s="1"/>
  <c r="N20" i="16"/>
  <c r="Q19" i="16"/>
  <c r="N19" i="16"/>
  <c r="Q18" i="16"/>
  <c r="N18" i="16"/>
  <c r="N17" i="16"/>
  <c r="P17" i="16" s="1"/>
  <c r="Q16" i="16"/>
  <c r="N16" i="16"/>
  <c r="M15" i="16"/>
  <c r="K15" i="16"/>
  <c r="L15" i="16" s="1"/>
  <c r="N14" i="16"/>
  <c r="Q14" i="16" s="1"/>
  <c r="K13" i="16"/>
  <c r="L13" i="16" s="1"/>
  <c r="N13" i="16" s="1"/>
  <c r="P13" i="16" s="1"/>
  <c r="N12" i="16"/>
  <c r="Q12" i="16" s="1"/>
  <c r="Q11" i="16"/>
  <c r="N11" i="16"/>
  <c r="N10" i="16"/>
  <c r="Q10" i="16" s="1"/>
  <c r="N9" i="16"/>
  <c r="Q9" i="16" s="1"/>
  <c r="C9" i="16" s="1"/>
  <c r="N8" i="16"/>
  <c r="Q8" i="16" s="1"/>
  <c r="L7" i="16"/>
  <c r="N7" i="16" s="1"/>
  <c r="P7" i="16" s="1"/>
  <c r="M6" i="16"/>
  <c r="K6" i="16"/>
  <c r="L6" i="16" s="1"/>
  <c r="M5" i="16"/>
  <c r="K5" i="16"/>
  <c r="K56" i="16" s="1"/>
  <c r="N24" i="16" l="1"/>
  <c r="P24" i="16" s="1"/>
  <c r="N6" i="16"/>
  <c r="P6" i="16" s="1"/>
  <c r="N38" i="16"/>
  <c r="P38" i="16" s="1"/>
  <c r="C38" i="16" s="1"/>
  <c r="N15" i="16"/>
  <c r="P15" i="16" s="1"/>
  <c r="C13" i="16" s="1"/>
  <c r="N29" i="16"/>
  <c r="P29" i="16" s="1"/>
  <c r="C28" i="16" s="1"/>
  <c r="C43" i="16"/>
  <c r="C49" i="16"/>
  <c r="C51" i="16"/>
  <c r="Q56" i="16"/>
  <c r="Q57" i="16" s="1"/>
  <c r="L5" i="16"/>
  <c r="N5" i="16" l="1"/>
  <c r="L56" i="16"/>
  <c r="P5" i="16" l="1"/>
  <c r="N56" i="16"/>
  <c r="P56" i="16" l="1"/>
  <c r="P57" i="16" s="1"/>
  <c r="C5" i="16"/>
  <c r="P58" i="16" l="1"/>
  <c r="D3" i="1"/>
  <c r="F69" i="15"/>
  <c r="E69" i="15"/>
  <c r="E70" i="15" s="1"/>
  <c r="D69" i="15"/>
  <c r="D70" i="15" s="1"/>
  <c r="H68" i="15"/>
  <c r="H67" i="15"/>
  <c r="H66" i="15"/>
  <c r="H65" i="15"/>
  <c r="H64" i="15"/>
  <c r="H63" i="15"/>
  <c r="H60" i="15"/>
  <c r="H59" i="15"/>
  <c r="G58" i="15"/>
  <c r="H58" i="15" s="1"/>
  <c r="H57" i="15"/>
  <c r="G56" i="15"/>
  <c r="H56" i="15" s="1"/>
  <c r="E55" i="15"/>
  <c r="D55" i="15"/>
  <c r="G54" i="15"/>
  <c r="H54" i="15" s="1"/>
  <c r="F54" i="15"/>
  <c r="G53" i="15"/>
  <c r="H53" i="15" s="1"/>
  <c r="G52" i="15"/>
  <c r="H52" i="15" s="1"/>
  <c r="G51" i="15"/>
  <c r="F51" i="15"/>
  <c r="F55" i="15" s="1"/>
  <c r="E50" i="15"/>
  <c r="D50" i="15"/>
  <c r="H49" i="15"/>
  <c r="G48" i="15"/>
  <c r="H48" i="15" s="1"/>
  <c r="F48" i="15"/>
  <c r="H47" i="15"/>
  <c r="G46" i="15"/>
  <c r="H46" i="15" s="1"/>
  <c r="F46" i="15"/>
  <c r="G45" i="15"/>
  <c r="H45" i="15" s="1"/>
  <c r="F45" i="15"/>
  <c r="G44" i="15"/>
  <c r="H44" i="15" s="1"/>
  <c r="F44" i="15"/>
  <c r="G43" i="15"/>
  <c r="H43" i="15" s="1"/>
  <c r="F43" i="15"/>
  <c r="F50" i="15" s="1"/>
  <c r="E42" i="15"/>
  <c r="D42" i="15"/>
  <c r="H41" i="15"/>
  <c r="H40" i="15"/>
  <c r="H39" i="15"/>
  <c r="H38" i="15"/>
  <c r="H37" i="15"/>
  <c r="G37" i="15"/>
  <c r="F37" i="15"/>
  <c r="G36" i="15"/>
  <c r="H36" i="15" s="1"/>
  <c r="F36" i="15"/>
  <c r="F42" i="15" s="1"/>
  <c r="G35" i="15"/>
  <c r="H35" i="15" s="1"/>
  <c r="E34" i="15"/>
  <c r="D34" i="15"/>
  <c r="H33" i="15"/>
  <c r="G33" i="15"/>
  <c r="F33" i="15"/>
  <c r="G32" i="15"/>
  <c r="H32" i="15" s="1"/>
  <c r="F32" i="15"/>
  <c r="F34" i="15" s="1"/>
  <c r="G31" i="15"/>
  <c r="H31" i="15" s="1"/>
  <c r="F30" i="15"/>
  <c r="E30" i="15"/>
  <c r="D30" i="15"/>
  <c r="H29" i="15"/>
  <c r="G28" i="15"/>
  <c r="H28" i="15" s="1"/>
  <c r="F28" i="15"/>
  <c r="G27" i="15"/>
  <c r="H27" i="15" s="1"/>
  <c r="F27" i="15"/>
  <c r="G26" i="15"/>
  <c r="H26" i="15" s="1"/>
  <c r="F26" i="15"/>
  <c r="G25" i="15"/>
  <c r="H25" i="15" s="1"/>
  <c r="F25" i="15"/>
  <c r="G24" i="15"/>
  <c r="H24" i="15" s="1"/>
  <c r="F24" i="15"/>
  <c r="G23" i="15"/>
  <c r="G30" i="15" s="1"/>
  <c r="F23" i="15"/>
  <c r="F22" i="15"/>
  <c r="E22" i="15"/>
  <c r="D22" i="15"/>
  <c r="G21" i="15"/>
  <c r="H21" i="15" s="1"/>
  <c r="G20" i="15"/>
  <c r="H20" i="15" s="1"/>
  <c r="G19" i="15"/>
  <c r="H19" i="15" s="1"/>
  <c r="H18" i="15"/>
  <c r="H17" i="15"/>
  <c r="G16" i="15"/>
  <c r="H16" i="15" s="1"/>
  <c r="G15" i="15"/>
  <c r="H15" i="15" s="1"/>
  <c r="G14" i="15"/>
  <c r="H14" i="15" s="1"/>
  <c r="G13" i="15"/>
  <c r="H13" i="15" s="1"/>
  <c r="G12" i="15"/>
  <c r="F11" i="15"/>
  <c r="E11" i="15"/>
  <c r="D11" i="15"/>
  <c r="H10" i="15"/>
  <c r="G9" i="15"/>
  <c r="H9" i="15" s="1"/>
  <c r="G8" i="15"/>
  <c r="H8" i="15" s="1"/>
  <c r="G7" i="15"/>
  <c r="H7" i="15" s="1"/>
  <c r="F6" i="15"/>
  <c r="E6" i="15"/>
  <c r="H5" i="15"/>
  <c r="G4" i="15"/>
  <c r="H4" i="15" s="1"/>
  <c r="G3" i="15"/>
  <c r="H3" i="15" s="1"/>
  <c r="G2" i="15"/>
  <c r="D2" i="15"/>
  <c r="D6" i="15" s="1"/>
  <c r="H34" i="15" l="1"/>
  <c r="G22" i="15"/>
  <c r="H42" i="15"/>
  <c r="H69" i="15"/>
  <c r="H11" i="15"/>
  <c r="G55" i="15"/>
  <c r="G6" i="15"/>
  <c r="F70" i="15"/>
  <c r="H50" i="15"/>
  <c r="G11" i="15"/>
  <c r="H2" i="15"/>
  <c r="H6" i="15" s="1"/>
  <c r="H12" i="15"/>
  <c r="H22" i="15" s="1"/>
  <c r="H23" i="15"/>
  <c r="H30" i="15" s="1"/>
  <c r="G50" i="15"/>
  <c r="G34" i="15"/>
  <c r="G69" i="15"/>
  <c r="G42" i="15"/>
  <c r="H51" i="15"/>
  <c r="H55" i="15" s="1"/>
  <c r="H70" i="15" l="1"/>
  <c r="H71" i="15" s="1"/>
  <c r="D2" i="1" s="1"/>
  <c r="L46" i="14"/>
  <c r="C46" i="14"/>
  <c r="L44" i="14"/>
  <c r="L37" i="14"/>
  <c r="L34" i="14"/>
  <c r="L29" i="14"/>
  <c r="L28" i="14"/>
  <c r="L26" i="14"/>
  <c r="L25" i="14"/>
  <c r="L24" i="14"/>
  <c r="L23" i="14"/>
  <c r="L22" i="14"/>
  <c r="L21" i="14"/>
  <c r="L20" i="14"/>
  <c r="L19" i="14"/>
  <c r="L18" i="14"/>
  <c r="L17" i="14"/>
  <c r="L16" i="14"/>
  <c r="L15" i="14"/>
  <c r="L14" i="14"/>
  <c r="L13" i="14"/>
  <c r="L12" i="14"/>
  <c r="L11" i="14"/>
  <c r="L10" i="14"/>
  <c r="L9" i="14"/>
  <c r="L8" i="14"/>
  <c r="L47" i="14" l="1"/>
  <c r="J3" i="1" l="1"/>
  <c r="J2" i="1"/>
  <c r="H4" i="11" l="1"/>
  <c r="D15" i="11" l="1"/>
  <c r="H8" i="11"/>
  <c r="G7" i="12" l="1"/>
  <c r="G8" i="12" l="1"/>
  <c r="G6" i="12" l="1"/>
  <c r="J8" i="1" l="1"/>
  <c r="J5" i="1"/>
  <c r="J4" i="1"/>
  <c r="C9" i="12" l="1"/>
  <c r="G5" i="12"/>
  <c r="G9" i="12" s="1"/>
  <c r="G3" i="12"/>
  <c r="H13" i="11"/>
  <c r="H12" i="11"/>
  <c r="H11" i="11"/>
  <c r="C15" i="11"/>
  <c r="H14" i="11"/>
  <c r="H9" i="11"/>
  <c r="H7" i="11"/>
  <c r="H6" i="11"/>
  <c r="H5" i="11"/>
  <c r="H3" i="11"/>
  <c r="G10" i="12" l="1"/>
  <c r="G11" i="12" s="1"/>
  <c r="D12" i="1" s="1"/>
  <c r="H15" i="11"/>
  <c r="H16" i="11" s="1"/>
  <c r="H17" i="11" s="1"/>
  <c r="D14" i="1" l="1"/>
  <c r="G3" i="1" l="1"/>
  <c r="H3" i="1" s="1"/>
  <c r="I3" i="1" s="1"/>
  <c r="K3" i="1" s="1"/>
  <c r="G2" i="1"/>
  <c r="G6" i="1"/>
  <c r="H6" i="1" s="1"/>
  <c r="I6" i="1" s="1"/>
  <c r="G5" i="1"/>
  <c r="H5" i="1" s="1"/>
  <c r="I5" i="1" s="1"/>
  <c r="G9" i="1"/>
  <c r="H9" i="1" s="1"/>
  <c r="I9" i="1" s="1"/>
  <c r="K9" i="1" s="1"/>
  <c r="G10" i="1"/>
  <c r="H10" i="1" s="1"/>
  <c r="I10" i="1" s="1"/>
  <c r="K10" i="1" s="1"/>
  <c r="G11" i="1"/>
  <c r="H11" i="1" s="1"/>
  <c r="I11" i="1" s="1"/>
  <c r="K11" i="1" s="1"/>
  <c r="G8" i="1"/>
  <c r="H8" i="1" s="1"/>
  <c r="I8" i="1" s="1"/>
  <c r="K8" i="1" s="1"/>
  <c r="G7" i="1"/>
  <c r="H7" i="1" s="1"/>
  <c r="I7" i="1" s="1"/>
  <c r="G4" i="1"/>
  <c r="H4" i="1" s="1"/>
  <c r="I4" i="1" s="1"/>
  <c r="K4" i="1" s="1"/>
  <c r="K5" i="1" l="1"/>
  <c r="H2" i="1"/>
  <c r="G14" i="1"/>
  <c r="H14" i="1" l="1"/>
  <c r="I2" i="1"/>
  <c r="I14" i="1" l="1"/>
  <c r="K2" i="1"/>
  <c r="K14" i="1" l="1"/>
</calcChain>
</file>

<file path=xl/comments1.xml><?xml version="1.0" encoding="utf-8"?>
<comments xmlns="http://schemas.openxmlformats.org/spreadsheetml/2006/main">
  <authors>
    <author>Hani Wagner</author>
  </authors>
  <commentList>
    <comment ref="B79" authorId="0" shapeId="0">
      <text>
        <r>
          <rPr>
            <b/>
            <sz val="8"/>
            <color indexed="81"/>
            <rFont val="Tahoma"/>
            <family val="2"/>
          </rPr>
          <t>Hani Wagner:</t>
        </r>
        <r>
          <rPr>
            <sz val="8"/>
            <color indexed="81"/>
            <rFont val="Tahoma"/>
            <family val="2"/>
          </rPr>
          <t xml:space="preserve">
זה חומר שמביא הנישום ומחזירים לו אותו בתום החקירה. צריך מקום לאחסון החומר</t>
        </r>
      </text>
    </comment>
  </commentList>
</comments>
</file>

<file path=xl/comments2.xml><?xml version="1.0" encoding="utf-8"?>
<comments xmlns="http://schemas.openxmlformats.org/spreadsheetml/2006/main">
  <authors>
    <author>Hani Wagner</author>
  </authors>
  <commentList>
    <comment ref="B50" authorId="0" shapeId="0">
      <text>
        <r>
          <rPr>
            <b/>
            <sz val="8"/>
            <color indexed="81"/>
            <rFont val="Tahoma"/>
            <family val="2"/>
          </rPr>
          <t>Hani Wagner:</t>
        </r>
        <r>
          <rPr>
            <sz val="8"/>
            <color indexed="81"/>
            <rFont val="Tahoma"/>
            <family val="2"/>
          </rPr>
          <t xml:space="preserve">
זה חומר שמביא הנישום ומחזירים לו אותו בתום החקירה. צריך מקום לאחסון החומר</t>
        </r>
      </text>
    </comment>
  </commentList>
</comments>
</file>

<file path=xl/sharedStrings.xml><?xml version="1.0" encoding="utf-8"?>
<sst xmlns="http://schemas.openxmlformats.org/spreadsheetml/2006/main" count="1215" uniqueCount="589">
  <si>
    <t>משרד</t>
  </si>
  <si>
    <t>היחידה</t>
  </si>
  <si>
    <t>שרות התעסוקה</t>
  </si>
  <si>
    <t>משרד הקליטה</t>
  </si>
  <si>
    <t>משרד הבריאות</t>
  </si>
  <si>
    <t>מחלקה</t>
  </si>
  <si>
    <t>פונקציה</t>
  </si>
  <si>
    <t>כמות עמדות</t>
  </si>
  <si>
    <t>כמות תמך</t>
  </si>
  <si>
    <t>שטח נטו ליחידה (מ"ר)</t>
  </si>
  <si>
    <t xml:space="preserve">סה"כ שטח נטו </t>
  </si>
  <si>
    <t>הערות</t>
  </si>
  <si>
    <t>D</t>
  </si>
  <si>
    <t>G</t>
  </si>
  <si>
    <t xml:space="preserve">סה"כ </t>
  </si>
  <si>
    <t>E</t>
  </si>
  <si>
    <t xml:space="preserve"> </t>
  </si>
  <si>
    <t>מטבחון</t>
  </si>
  <si>
    <t>חדר אמהות</t>
  </si>
  <si>
    <t>חדר תקשורת</t>
  </si>
  <si>
    <t>סה"כ שטח נטו</t>
  </si>
  <si>
    <t>סה"כ שטח ברוטו</t>
  </si>
  <si>
    <t>מס'</t>
  </si>
  <si>
    <t>חדר מנהל + חדר ישיבות</t>
  </si>
  <si>
    <t>אולם המתנה למקבלי קהל</t>
  </si>
  <si>
    <t>לשכה</t>
  </si>
  <si>
    <t>סוג עמדה</t>
  </si>
  <si>
    <t>ס</t>
  </si>
  <si>
    <t>פ</t>
  </si>
  <si>
    <t>A</t>
  </si>
  <si>
    <t>C</t>
  </si>
  <si>
    <t>שירותים</t>
  </si>
  <si>
    <t>כמות עובדים</t>
  </si>
  <si>
    <t>סה"כ</t>
  </si>
  <si>
    <t>הנהלה</t>
  </si>
  <si>
    <t>מנהל יחידה</t>
  </si>
  <si>
    <t>מזכירה</t>
  </si>
  <si>
    <t>ארכיב</t>
  </si>
  <si>
    <t>שטח פרוגרמה ברוטו במ"ר</t>
  </si>
  <si>
    <t>חדר מנהל</t>
  </si>
  <si>
    <t>ראש צוות</t>
  </si>
  <si>
    <t xml:space="preserve">עמדות OPEN SPACE </t>
  </si>
  <si>
    <t>מתאם השמה</t>
  </si>
  <si>
    <t>מתאם השמה (נגיש)</t>
  </si>
  <si>
    <t>עמדות OPEN SPACE</t>
  </si>
  <si>
    <t>בידוק בטחוני</t>
  </si>
  <si>
    <t xml:space="preserve">אזור המתנה </t>
  </si>
  <si>
    <t>חדר סדנאות</t>
  </si>
  <si>
    <t>שירותי עובדים</t>
  </si>
  <si>
    <t>חדר ארכיב</t>
  </si>
  <si>
    <t>מתחם התייצבות</t>
  </si>
  <si>
    <t>מכשירים לפני בידוק</t>
  </si>
  <si>
    <t>סה"כ ברוטו</t>
  </si>
  <si>
    <t>מנהל מוקד</t>
  </si>
  <si>
    <t>סגן מנהל מוקד</t>
  </si>
  <si>
    <t>מינהל</t>
  </si>
  <si>
    <t>אמרכל וראש ענף אמרכלות</t>
  </si>
  <si>
    <t>חולית תביעות</t>
  </si>
  <si>
    <t xml:space="preserve"> רכז </t>
  </si>
  <si>
    <t>עובדים</t>
  </si>
  <si>
    <t>שטח המתנה</t>
  </si>
  <si>
    <t>חולית שטח</t>
  </si>
  <si>
    <t>רכז</t>
  </si>
  <si>
    <t>חוליה מקצועית</t>
  </si>
  <si>
    <t>פונקציות תמך</t>
  </si>
  <si>
    <t>מטבחונים ופינות קפה</t>
  </si>
  <si>
    <t>חדר שרתים</t>
  </si>
  <si>
    <t xml:space="preserve">מחסן ציוד </t>
  </si>
  <si>
    <t>רכזת לשכה בכירה</t>
  </si>
  <si>
    <t>ראש ענף אמרכלות</t>
  </si>
  <si>
    <t>שירו"ת</t>
  </si>
  <si>
    <t xml:space="preserve">מרכז בכיר </t>
  </si>
  <si>
    <t xml:space="preserve">ראש ענף עבירות בסיסיות </t>
  </si>
  <si>
    <t xml:space="preserve">שטח המתנה </t>
  </si>
  <si>
    <t>מודיעין שטח</t>
  </si>
  <si>
    <t>חוליה מרכזית</t>
  </si>
  <si>
    <t xml:space="preserve"> רכז בכיר חוליה </t>
  </si>
  <si>
    <t>מרכז</t>
  </si>
  <si>
    <t xml:space="preserve">מפקח </t>
  </si>
  <si>
    <t>ארכיברים</t>
  </si>
  <si>
    <t>ארכיב מרכזי (ח' מרכזיות)</t>
  </si>
  <si>
    <t>ניכויים</t>
  </si>
  <si>
    <t>מנהל תחום רכז חוליה</t>
  </si>
  <si>
    <t>מפקח</t>
  </si>
  <si>
    <t>חוליה 17</t>
  </si>
  <si>
    <t xml:space="preserve">רכז בכיר חוליה </t>
  </si>
  <si>
    <t>מרכז בכיר</t>
  </si>
  <si>
    <t>עובדי תאומי מס</t>
  </si>
  <si>
    <t xml:space="preserve">חוליות שומה </t>
  </si>
  <si>
    <t xml:space="preserve">רכז חוליה </t>
  </si>
  <si>
    <t>מפקחים</t>
  </si>
  <si>
    <t>גובה ראשי</t>
  </si>
  <si>
    <t>סגן גובה ראשי</t>
  </si>
  <si>
    <t>עובדי גביה</t>
  </si>
  <si>
    <t>ארכיב גביה</t>
  </si>
  <si>
    <t>סגן ממונה</t>
  </si>
  <si>
    <t>מבקרי ניהול ספרים</t>
  </si>
  <si>
    <t>מש"מ</t>
  </si>
  <si>
    <t>סגן מנהל יחידה</t>
  </si>
  <si>
    <t>עובדי מש"מ</t>
  </si>
  <si>
    <t>חדר תקשורת קומתי</t>
  </si>
  <si>
    <t>חדרי ישיבות קטנים</t>
  </si>
  <si>
    <t>חדרי שירות</t>
  </si>
  <si>
    <t>מחסן טפסים מרכזי</t>
  </si>
  <si>
    <t>מחסן ציוד בנא"מ</t>
  </si>
  <si>
    <t xml:space="preserve">מחסן חוליתי </t>
  </si>
  <si>
    <t>בית כנסת</t>
  </si>
  <si>
    <t xml:space="preserve">מוקד לשעת חירום </t>
  </si>
  <si>
    <t>חדר הדרכה/ספריה</t>
  </si>
  <si>
    <t>סוג עמדה/ עובדים בחדר</t>
  </si>
  <si>
    <t>יועץ משפטי</t>
  </si>
  <si>
    <t>מחסן ציוד משרדי</t>
  </si>
  <si>
    <t>*** בידוק ביטחוני + חדר אמהות/ הנקה + בית כנסת +חדר אוכל - משותף בנייני</t>
  </si>
  <si>
    <t>פ י ר ו ט       כ " א</t>
  </si>
  <si>
    <t>שטחים [מ"ר] נטו</t>
  </si>
  <si>
    <t>תפקיד</t>
  </si>
  <si>
    <t>טיפוס / לפי שטח של</t>
  </si>
  <si>
    <t>עובדי מדינה</t>
  </si>
  <si>
    <t>מיקור חוץ</t>
  </si>
  <si>
    <t>סטודנט/ מתמחה</t>
  </si>
  <si>
    <t>שירות לאומי/ מתנדב</t>
  </si>
  <si>
    <t>גידול עתידי</t>
  </si>
  <si>
    <t>כמות עמדה / חדר</t>
  </si>
  <si>
    <t>שטח לעמדת עבודה</t>
  </si>
  <si>
    <t>משרדים</t>
  </si>
  <si>
    <t>תמך יעודיים</t>
  </si>
  <si>
    <t>תמך קומתי</t>
  </si>
  <si>
    <t>מרתף</t>
  </si>
  <si>
    <t>לשכת רישום מקרקעין</t>
  </si>
  <si>
    <t>לשכת רשם המקרקעין</t>
  </si>
  <si>
    <t>רשם המקרקעין</t>
  </si>
  <si>
    <t>סגן רשם המקרקעין</t>
  </si>
  <si>
    <t>רכז/ת לשכה</t>
  </si>
  <si>
    <t>אזור המתנה</t>
  </si>
  <si>
    <t>בוחנים</t>
  </si>
  <si>
    <t>בוחני עסקאות</t>
  </si>
  <si>
    <t>עמדת הדרכה</t>
  </si>
  <si>
    <t>כללי</t>
  </si>
  <si>
    <t>המתנה</t>
  </si>
  <si>
    <t>לשכת מפקח שיפוטי על רישום המקרקעין חולון</t>
  </si>
  <si>
    <t>מפקח על רישום מקרקעין</t>
  </si>
  <si>
    <t>מזכירות</t>
  </si>
  <si>
    <t>עוזרים</t>
  </si>
  <si>
    <t>מתמחים/ות</t>
  </si>
  <si>
    <t>אולם שיפוט</t>
  </si>
  <si>
    <t>לשכת מפקח מינהלי על רישום המקרקעין חולון</t>
  </si>
  <si>
    <t>שטחים משותפים / אזורי תמך</t>
  </si>
  <si>
    <t>מטבחון עם פינת הסעדה</t>
  </si>
  <si>
    <t>חדר הנקה</t>
  </si>
  <si>
    <t>שירותים (מפקח)</t>
  </si>
  <si>
    <t>חדר ציוד מיחשוב</t>
  </si>
  <si>
    <t>חדר ציוד/דואר</t>
  </si>
  <si>
    <t>סה"כ נטו</t>
  </si>
  <si>
    <t xml:space="preserve">מקדם ברוטו נטו </t>
  </si>
  <si>
    <t>I</t>
  </si>
  <si>
    <t>J</t>
  </si>
  <si>
    <t>קבלת קהל</t>
  </si>
  <si>
    <t>עמדות קבלת קהל</t>
  </si>
  <si>
    <t>חדר ישיבות</t>
  </si>
  <si>
    <t>*** אזור המתנה לפני מאבטחים + חדר מנוחה שומרים - משותף בנייני</t>
  </si>
  <si>
    <t>מתחם מחלקת ביטחון</t>
  </si>
  <si>
    <t>חדר קב"ט</t>
  </si>
  <si>
    <t>ביטחון בכניסה למבנה</t>
  </si>
  <si>
    <t>מחסן ציוד</t>
  </si>
  <si>
    <t>חדר מנוחה</t>
  </si>
  <si>
    <t>חדר בקרה</t>
  </si>
  <si>
    <t>דלפק בידוק</t>
  </si>
  <si>
    <t>אזור המתנה/ כניסה לפני בידוק</t>
  </si>
  <si>
    <t>שטחים משותפים בנייניים</t>
  </si>
  <si>
    <t>חדר הדרכה והרצאות</t>
  </si>
  <si>
    <t>% שטח בבניין</t>
  </si>
  <si>
    <t>שטח מהמשותף בהתאם ליחסי</t>
  </si>
  <si>
    <t>שטח סופי למשרד</t>
  </si>
  <si>
    <t>בדיקה:</t>
  </si>
  <si>
    <t>פונקציות משותפות + מחלקת ביטחון</t>
  </si>
  <si>
    <t>ריכוז שטחים סופי לפי משרדים</t>
  </si>
  <si>
    <t>משרד המשפטים</t>
  </si>
  <si>
    <t>חדרי ניקיון קומתיים</t>
  </si>
  <si>
    <t>* ייתכנו שינויים לפרוגרמות בהמשך ו/או תוספות שטחים</t>
  </si>
  <si>
    <t xml:space="preserve">* חדר כושר - במידה ויהיה חדר כזה במתחם ע"י השוכר והמשרדים יגיעו לסיכום מול השוכר, השטח יתייתר </t>
  </si>
  <si>
    <t>חדר כושר + מלתחות (כולל מקלחות )</t>
  </si>
  <si>
    <t>חדר נשק</t>
  </si>
  <si>
    <t>כולל כספת</t>
  </si>
  <si>
    <t xml:space="preserve">מטבח מבשל + חדר אוכל </t>
  </si>
  <si>
    <t>עמדה נוספת</t>
  </si>
  <si>
    <t>**שירותים לפי תקני הל"ת</t>
  </si>
  <si>
    <t>60% מהעובדים ב- 3 סבבים</t>
  </si>
  <si>
    <t>ממונה איזורי</t>
  </si>
  <si>
    <t>ס/בכיר לממונה איזורי</t>
  </si>
  <si>
    <t>מרכזת בכירה אמרכלות</t>
  </si>
  <si>
    <t>עובד מודיעין נוסף</t>
  </si>
  <si>
    <t>מרכז בכיר מודיעין</t>
  </si>
  <si>
    <t>רכזת לשכה</t>
  </si>
  <si>
    <t>מנהל תחום בקח"ש</t>
  </si>
  <si>
    <t>ממונה צוות בכיר בקח"ש</t>
  </si>
  <si>
    <t>ממונה פרויקטים</t>
  </si>
  <si>
    <t>מבקר חשבונות בכיר</t>
  </si>
  <si>
    <t>מבקר חשבונות</t>
  </si>
  <si>
    <t>מרכז גביה ואכיפה</t>
  </si>
  <si>
    <t>ראש ענף גביה ואכיפה</t>
  </si>
  <si>
    <t>פינת קפה</t>
  </si>
  <si>
    <t>חדר תיקים אישיים צמוד לחדר האמרכלית</t>
  </si>
  <si>
    <t>ארכיב בקח"ש צמוד למרכזת תפישות</t>
  </si>
  <si>
    <t xml:space="preserve">ארכיב גביה ואכיפה </t>
  </si>
  <si>
    <t>איזור המתנה גביה ואכיפה</t>
  </si>
  <si>
    <t>חדר ישיבות צמוד ממונה</t>
  </si>
  <si>
    <t>חדר חקירות</t>
  </si>
  <si>
    <t>חדר ספריה</t>
  </si>
  <si>
    <t>חדר טכנאי מחשוב</t>
  </si>
  <si>
    <t>חדר תקשורת מחשוב</t>
  </si>
  <si>
    <t>חדר תקשורת מרכזיה</t>
  </si>
  <si>
    <t>אולם קבלת קהל</t>
  </si>
  <si>
    <t>צפי למבקרים חדשים</t>
  </si>
  <si>
    <t>חדרים נגישים לבעלי מוגבלויות</t>
  </si>
  <si>
    <t>חדר אקוסטי+נימוקים</t>
  </si>
  <si>
    <t>חדר אקוסטי</t>
  </si>
  <si>
    <t>ביקורת</t>
  </si>
  <si>
    <t>גבייה</t>
  </si>
  <si>
    <t>עמדת מודיעין והכוונה</t>
  </si>
  <si>
    <t>עמדות תשלומים ונחל</t>
  </si>
  <si>
    <t>אזור קבלת קהל</t>
  </si>
  <si>
    <t>חדר עיון</t>
  </si>
  <si>
    <t>עובדי לשכת המפקח</t>
  </si>
  <si>
    <t>אולם הדיונים</t>
  </si>
  <si>
    <t>אזור המתנה לפני לשכת הפקח השיפטי</t>
  </si>
  <si>
    <t>עמדת בטחון והכוונה</t>
  </si>
  <si>
    <t>אזור תפעול (עבור מכונת צילום, מדפסת, מגרסה ואמצעים)</t>
  </si>
  <si>
    <t xml:space="preserve">ארכיב  </t>
  </si>
  <si>
    <t>מזכירות וקבלת קהל</t>
  </si>
  <si>
    <t>עוזרים ומתמחים</t>
  </si>
  <si>
    <t>עמדת קבלת קהל</t>
  </si>
  <si>
    <t>עוזרי המפקח</t>
  </si>
  <si>
    <t>עמדות OS</t>
  </si>
  <si>
    <t>מתחם עבודה משותף</t>
  </si>
  <si>
    <t>יחידה</t>
  </si>
  <si>
    <t>מספר עמדות</t>
  </si>
  <si>
    <t>סה"כ שטח נטו (מ"ר)</t>
  </si>
  <si>
    <t>כלול בברוטו</t>
  </si>
  <si>
    <t>שניים בחדר</t>
  </si>
  <si>
    <t>פרוגרמה רשות המיסים -מע"מ פתח - תקווה</t>
  </si>
  <si>
    <t>מע"מ פ"ת</t>
  </si>
  <si>
    <t>סה"כ 54</t>
  </si>
  <si>
    <t>צפי ל-8 עובדים נוספים</t>
  </si>
  <si>
    <t>תאריך: 1.11.22</t>
  </si>
  <si>
    <t>עובדים בחדר</t>
  </si>
  <si>
    <t>שטח חדר</t>
  </si>
  <si>
    <t>מס' חדרים/עמדות עבודה</t>
  </si>
  <si>
    <t>סה"כ שטח כולל</t>
  </si>
  <si>
    <t xml:space="preserve">הערות </t>
  </si>
  <si>
    <t>חייב חדר לבד</t>
  </si>
  <si>
    <r>
      <t>מרכזת תפישות -</t>
    </r>
    <r>
      <rPr>
        <b/>
        <sz val="11"/>
        <rFont val="David"/>
        <family val="2"/>
      </rPr>
      <t xml:space="preserve"> 2 מזכירי חוליית בקח"ש 1 גביה ואכיפה</t>
    </r>
  </si>
  <si>
    <t>פקיד מקצועי בכיר (גביה ואכיפה)</t>
  </si>
  <si>
    <r>
      <t xml:space="preserve">סטודנט - </t>
    </r>
    <r>
      <rPr>
        <b/>
        <sz val="11"/>
        <rFont val="David"/>
        <family val="2"/>
      </rPr>
      <t>2 גביה ואכיפה 2 - מקנזי (בקח"ש)</t>
    </r>
  </si>
  <si>
    <t xml:space="preserve"> שלוש עמדות ל4 סטודנטים</t>
  </si>
  <si>
    <t xml:space="preserve">חדר ישיבות משרדי / אולם  הרצאות </t>
  </si>
  <si>
    <t>נימוקים מפורטים בהמשך</t>
  </si>
  <si>
    <t xml:space="preserve">מטבחון ישיבה / ח. אוכל </t>
  </si>
  <si>
    <r>
      <t>נ</t>
    </r>
    <r>
      <rPr>
        <b/>
        <sz val="11"/>
        <rFont val="David"/>
        <family val="2"/>
      </rPr>
      <t>ימוקים מפורטים בהמשך</t>
    </r>
  </si>
  <si>
    <t>ל 10 ממתינים</t>
  </si>
  <si>
    <t>סדרן כניסה</t>
  </si>
  <si>
    <t xml:space="preserve">חדרי שרותים - נשים + גברים + כיור </t>
  </si>
  <si>
    <t xml:space="preserve">מקלחת משרדית -  עבודת חוץ ומבצעים </t>
  </si>
  <si>
    <t>בהנחה של 15 ממתינים</t>
  </si>
  <si>
    <t>סה" ברוטו</t>
  </si>
  <si>
    <t>טיפוס</t>
  </si>
  <si>
    <t>כ"א קיים</t>
  </si>
  <si>
    <t>כ"א עתידי</t>
  </si>
  <si>
    <t>מספר חדרים / עמדות</t>
  </si>
  <si>
    <t>שטח נטו במ"ר</t>
  </si>
  <si>
    <t>סה"כ שטח נטו במ"ר</t>
  </si>
  <si>
    <t>רפואה</t>
  </si>
  <si>
    <t>רופא הנפה</t>
  </si>
  <si>
    <t>במשרד יהיה מקום לשולחן ישיבות ו 4 כסאות + ספרייה,  כיור,עמדת עבודה, ארון תיקים</t>
  </si>
  <si>
    <t>מזכירת רופאת הנפה</t>
  </si>
  <si>
    <t>F</t>
  </si>
  <si>
    <t>כל ימות השבוע</t>
  </si>
  <si>
    <t>רופאת לשכה</t>
  </si>
  <si>
    <t>נדרש כיור, מיטה, ארון לערכת עזרה ראשונה, ארון נעול לתרופות, עמדת עבודה, ארון תיקים, מקרר קטן לתרופות</t>
  </si>
  <si>
    <t>חדר המתנה ל-5-10 איש</t>
  </si>
  <si>
    <t>מנהל</t>
  </si>
  <si>
    <t>אחראית מנהל</t>
  </si>
  <si>
    <t>ס. אחראית מנהל</t>
  </si>
  <si>
    <t>משאבי אנוש</t>
  </si>
  <si>
    <t>ראיון וקליטת עובדים כל ימות השבוע</t>
  </si>
  <si>
    <t>מח' אפידימיולוגיה + מחלות זיהומיות</t>
  </si>
  <si>
    <t>אחות אפידמיולוגית</t>
  </si>
  <si>
    <t>כל ימות השבוע לנושא כלבת ופטירות (רישיונות קבורה).</t>
  </si>
  <si>
    <t>רופא אפידמיולוגית</t>
  </si>
  <si>
    <t>מרכזת מנהל אפידמיולוגית ורכזת חיסונים</t>
  </si>
  <si>
    <t xml:space="preserve">מקבלי קהל, מחייב נגישות של  לכניסת כיסאות גלגלים </t>
  </si>
  <si>
    <t>חדר טיפולים - תמך משותפים</t>
  </si>
  <si>
    <t xml:space="preserve">נדרש כיור, מיטה, ארון לערכת עזרה ראשונה, ארון נעול לתרופות, עמדת עבודה, ארון תיקים, מקרר קטן לתרופות  </t>
  </si>
  <si>
    <t>מרפאת חיסונים - תמך משותפים</t>
  </si>
  <si>
    <t xml:space="preserve">נדרש כיור, מיטה, ארון לערכת עזרה ראשונה, ארון נעול לתרופות, עמדת עבודה, ארון תיקים, מקרר קטן לתרופות </t>
  </si>
  <si>
    <t>ימי ב'.</t>
  </si>
  <si>
    <t>חדר המתנה ל- - 10 אנשים</t>
  </si>
  <si>
    <t>חדר מקררים</t>
  </si>
  <si>
    <t>כ-6 מקררים תעשיתיים + צידניות + שולחן כתיבה + כ-6 ארונות אחסון. בחדר: מיזוג קבוע, גיבוי גנרטור, מערכות בקרה.</t>
  </si>
  <si>
    <t>אחות שחפת</t>
  </si>
  <si>
    <t>אחות מרכזת איידס</t>
  </si>
  <si>
    <t>מתאמת, מחלות זיהומיות</t>
  </si>
  <si>
    <t>אפד'  קורונה</t>
  </si>
  <si>
    <t>סיעוד</t>
  </si>
  <si>
    <t>אחות מפקחת נפתית</t>
  </si>
  <si>
    <t>קליטת אחיות חדשות כולל סטודנטים – כל ימות השבוע</t>
  </si>
  <si>
    <t>רכזת מינהל - סיעוד</t>
  </si>
  <si>
    <t>סגנית אחות מפקחת נפתית</t>
  </si>
  <si>
    <t>אחות מפקחת אזורית</t>
  </si>
  <si>
    <t>אחות רכזת אם וילד</t>
  </si>
  <si>
    <t>אחות רכזת תחום סיעודי</t>
  </si>
  <si>
    <t>חדר ישיבות עבור 10 איש</t>
  </si>
  <si>
    <t>לפחות פעם  ביום</t>
  </si>
  <si>
    <t>מקצועים אחרים</t>
  </si>
  <si>
    <t>מחנך לבריאות - העדה ההאתיופית</t>
  </si>
  <si>
    <t>50%  משרה</t>
  </si>
  <si>
    <t>דיאטנית</t>
  </si>
  <si>
    <t>3ימי עבודה בשבוע</t>
  </si>
  <si>
    <t>רופאת שיניים (משרד)</t>
  </si>
  <si>
    <t>2ימי עבודה בשבוע</t>
  </si>
  <si>
    <t>בריאות וסביבה</t>
  </si>
  <si>
    <t>מפקחת נפתית</t>
  </si>
  <si>
    <t xml:space="preserve">ימים ב' + ה' לכלל משימות המחלקה, תלונות מזון כל ימות השבוע </t>
  </si>
  <si>
    <t>ארכיב בריה"ס</t>
  </si>
  <si>
    <t>כ-20 מדפים</t>
  </si>
  <si>
    <t>חדר המתנה ל-5 איש</t>
  </si>
  <si>
    <t>חדר עבודה, אישור תוכניות וקבלת קהל</t>
  </si>
  <si>
    <t>משמש לפתיחת מפות ותוכניות,מאשרים  תוכניות בניה למסעדות,בתי קפה,מוסדות ציבוריים וכו' בחדר זה מקבלים קהל</t>
  </si>
  <si>
    <t>חדר דיגום לבריה"ס</t>
  </si>
  <si>
    <t>כולל כיור, שולחן כתיבה, מקום לצידניות, 2 מקררים לבדיקת דוגמיות ותלונות ודיגומי מים וארונות סטנדרטים</t>
  </si>
  <si>
    <t>מחלקת למחלות כרוניות ומכשירי שיקום וניידות</t>
  </si>
  <si>
    <t>עו"ס</t>
  </si>
  <si>
    <t xml:space="preserve">מקבלי קהל, מחייב נגישות של כל מחלקת ממ"ש לכניסת כיסאות גלגלים </t>
  </si>
  <si>
    <t>ימים א' + ד' ובנוסף כל ימות השבוע לחריגים.</t>
  </si>
  <si>
    <t>אחות רכזת ממ"ש</t>
  </si>
  <si>
    <t>רכזת ממ"ש</t>
  </si>
  <si>
    <t>פזיותרפיסטית</t>
  </si>
  <si>
    <t>חדר המתנה לכ-15 איש</t>
  </si>
  <si>
    <t>בת שירות לאומי</t>
  </si>
  <si>
    <t>לוגיסטיקה</t>
  </si>
  <si>
    <t>ראש ענף לוגיסטיקה</t>
  </si>
  <si>
    <t>רכז לוגיסטיקה</t>
  </si>
  <si>
    <t>נהג</t>
  </si>
  <si>
    <t>עמדה קטנה</t>
  </si>
  <si>
    <t>רכז  תחזוקה</t>
  </si>
  <si>
    <t>חדר הכולל ארון ציוד</t>
  </si>
  <si>
    <t xml:space="preserve">שטחים משותפים / כלליים </t>
  </si>
  <si>
    <t>מזכירה/ מרכזיה</t>
  </si>
  <si>
    <t>נדרש למקם בכניסה/ליד מרפאה אפידמיולוגית. אחראית על דואר, גביה מחיסונים ועוד</t>
  </si>
  <si>
    <t>חדר דואר</t>
  </si>
  <si>
    <t>תאי דואר ומכונת ביול, צילום, גריסה ועוד</t>
  </si>
  <si>
    <t>מיחשוב</t>
  </si>
  <si>
    <t xml:space="preserve">מחסן מכשירי שיקום </t>
  </si>
  <si>
    <t>עבור כיסאות גלגלים ומיטות המיועדות למסירה או החוזרות ממטופלים</t>
  </si>
  <si>
    <t>מחסן תפעול ציוד משרדי ופסולת ביולוגית</t>
  </si>
  <si>
    <t>נדרשים מדפים מותאמים  ואיזור מיועד לפסולת ביולוגית וכן מיועד לציוד תפעול שוטף, ניירת, נייר טואלט, חומרי ניקוי וכו' - מחסן הנותן שירות לכ-21 תחנות טיפת חלב+לשכה</t>
  </si>
  <si>
    <t>חדר ישיבות/חדר הדרכה, יופרדו ע"י מחיצה האקוסטית בעת הצורך, מרובות משתתפים מכל הנפה - שמכיל כ- 50 איש ומשמש בין היתר גם חמ"ל בשעת חירום. החדר יכלול : טלויזיה, שולחן גדול +כיסאות, ארון ציוד, מקום לכיבוד</t>
  </si>
  <si>
    <t>חדר הרצאות והדרכה ל-50 איש</t>
  </si>
  <si>
    <t>מבואת כניסה + שומר</t>
  </si>
  <si>
    <t>מטבחון +מקום ישיבה</t>
  </si>
  <si>
    <t>חדר נקיון</t>
  </si>
  <si>
    <t>סה"כ ברוטו לפי 1.75</t>
  </si>
  <si>
    <t>אגף רישום והסדר מקרקעין  - פתח תקווה יוני 2022</t>
  </si>
  <si>
    <t>סה"כ שטח למתחם  (נטו)</t>
  </si>
  <si>
    <t>B</t>
  </si>
  <si>
    <t>GB</t>
  </si>
  <si>
    <t>אזור המתנה לפני לשכת הרשם</t>
  </si>
  <si>
    <t>עמדת OS</t>
  </si>
  <si>
    <t>מחייב חשמל ותקשורת</t>
  </si>
  <si>
    <t xml:space="preserve">אזור המתנת קהל </t>
  </si>
  <si>
    <t>כולל נק' מים וביוב</t>
  </si>
  <si>
    <t>אזור המתנה לפני  משרדי בוחנים</t>
  </si>
  <si>
    <t>ניחתן לפצל לשני אזורים בהתאם למיקום משרדי הבוחנים</t>
  </si>
  <si>
    <t>סטונט/בת שירות</t>
  </si>
  <si>
    <t>IA</t>
  </si>
  <si>
    <t>H</t>
  </si>
  <si>
    <t>GA</t>
  </si>
  <si>
    <t>EA</t>
  </si>
  <si>
    <t>כללי (לשכת הרישום)</t>
  </si>
  <si>
    <t>חדר ישיבות גדול (16-18 משתתפים)</t>
  </si>
  <si>
    <t>ארכיב עם אזור ממודר</t>
  </si>
  <si>
    <t>כניסה לאולם השיפוט</t>
  </si>
  <si>
    <t>השירותים צריכים להיות בקרבת משרד המפקח</t>
  </si>
  <si>
    <t>EB</t>
  </si>
  <si>
    <t>אקוסטי , בית משפט</t>
  </si>
  <si>
    <t>חדר אפשה, מחזור ונייר גרוס</t>
  </si>
  <si>
    <t>2 עמדות בכל חדר</t>
  </si>
  <si>
    <t>חדר ישיבות קטן  (8-6 משתתפים)</t>
  </si>
  <si>
    <t>אזור המתנה/ישיבה</t>
  </si>
  <si>
    <t>מס הכנסה ומיסוי מקרקעין</t>
  </si>
  <si>
    <t>אגף רכש נכסים ולוגיסטיקה</t>
  </si>
  <si>
    <t>פרוגרמה עבור מוקד חירום פיצויים קריית ממשלה פתח תקווה</t>
  </si>
  <si>
    <t xml:space="preserve">   </t>
  </si>
  <si>
    <t>1.12.2022</t>
  </si>
  <si>
    <t>מספר עובדים</t>
  </si>
  <si>
    <t>OS</t>
  </si>
  <si>
    <t>גודל חדר</t>
  </si>
  <si>
    <t>מס' חדרים</t>
  </si>
  <si>
    <t>סה"כ שטח נדרש נטו</t>
  </si>
  <si>
    <t>שטח ל-10 ממתינים בשעות השיא, לפי 0.8 לאדם</t>
  </si>
  <si>
    <t>מקרר, מיקרוגל, מתקן למים</t>
  </si>
  <si>
    <t>מגרסה, פקס, מכונת צילום, גנרטור חירום</t>
  </si>
  <si>
    <t xml:space="preserve">תאי שרותים סמוך למוקד </t>
  </si>
  <si>
    <t>נכלל בברוטו</t>
  </si>
  <si>
    <t>סה"כ - פ"ש</t>
  </si>
  <si>
    <t>מקדם</t>
  </si>
  <si>
    <t xml:space="preserve">ברוטו </t>
  </si>
  <si>
    <t>מעודכן לתאריך: 1.7.2022</t>
  </si>
  <si>
    <t>פרוגרמה עבור יחידת מס הכנסה פתח תקווה</t>
  </si>
  <si>
    <t>פירוט כוח אדם</t>
  </si>
  <si>
    <t>עמוד 1</t>
  </si>
  <si>
    <t>קוד</t>
  </si>
  <si>
    <t>קיים</t>
  </si>
  <si>
    <t>מספר חדרים\ עמדות</t>
  </si>
  <si>
    <t>שטח עמדה (מ"ר)</t>
  </si>
  <si>
    <t>פקיד שומה</t>
  </si>
  <si>
    <t>מנהל משרד</t>
  </si>
  <si>
    <t>סגן פקד שומה</t>
  </si>
  <si>
    <t>סגן מנהל משרד</t>
  </si>
  <si>
    <t>חדר בין המנהל והסגן - כולל תיוק</t>
  </si>
  <si>
    <t xml:space="preserve">הנהלה </t>
  </si>
  <si>
    <t>אולם ישיבות</t>
  </si>
  <si>
    <t>מתאים לישיבות הנהלה - לפי כמה משתתפים בו זמנית?</t>
  </si>
  <si>
    <t>ומינהל</t>
  </si>
  <si>
    <t>עבור 4 אנשים לפי 0.8 לאדם</t>
  </si>
  <si>
    <t>ממונה למינהל</t>
  </si>
  <si>
    <t>אמרכל מנהל כוח אדם</t>
  </si>
  <si>
    <t>צמוד לאמרכל. חדר לשני עובדים - למה חדר לשני עובדים אם יש רק עובד אחד?</t>
  </si>
  <si>
    <t>מרכז בנא"מ</t>
  </si>
  <si>
    <t>רכש נכסים ולוגיסטיקה כולל ציוד</t>
  </si>
  <si>
    <t>טלפונאי</t>
  </si>
  <si>
    <t>חדר תפעול ואחסון</t>
  </si>
  <si>
    <t xml:space="preserve">  </t>
  </si>
  <si>
    <t>מכונת צילום, מגרסה...</t>
  </si>
  <si>
    <t>רצוי קרוב להנהלה</t>
  </si>
  <si>
    <t>מיקום בין הכניסה למשרד והארכיב</t>
  </si>
  <si>
    <t>ראש ענף / עובד שירו"ת</t>
  </si>
  <si>
    <t>חדר לשני עובדים</t>
  </si>
  <si>
    <t>חדר אחסון דוחות</t>
  </si>
  <si>
    <t>דוחות במסלול מעבר לחוליות - לפי מה חושב?</t>
  </si>
  <si>
    <t>עבור 5 אנשים לפי 0.8 לאדם</t>
  </si>
  <si>
    <t>קרוב לארכיב - שניים בחדר</t>
  </si>
  <si>
    <t>חדר לשני עובדים - לא צויין מספר עובדים</t>
  </si>
  <si>
    <t>ראש ענף/מנהל מדור חוליה</t>
  </si>
  <si>
    <t>חדר לשני עובדים או במתחם הארכיב</t>
  </si>
  <si>
    <t>לפי כמות תיקים וגידול צפוי - לפי כמה תיקים חושב?</t>
  </si>
  <si>
    <t>קרוב לכניסה מבודד ככל אפשר</t>
  </si>
  <si>
    <t>מתחם קבלת קהל</t>
  </si>
  <si>
    <t>עבור 30אנשים לפי 0.8 לאדם</t>
  </si>
  <si>
    <t>רחוק מהכניסה ומיחידות ק. קהל</t>
  </si>
  <si>
    <t>סטודנטים (מקנזי)</t>
  </si>
  <si>
    <t>סיוע לעבודת החוליות עפ"י החלטת מטה</t>
  </si>
  <si>
    <t xml:space="preserve">                                                   גביה</t>
  </si>
  <si>
    <t>מנהל מחלקה</t>
  </si>
  <si>
    <t>עבור 23 אנשים לפי 0.8 לאדם</t>
  </si>
  <si>
    <t xml:space="preserve"> ניהול ספרים</t>
  </si>
  <si>
    <t>מנהל תחום רכז בכיר</t>
  </si>
  <si>
    <t>טכנאי מחשבים</t>
  </si>
  <si>
    <t>משותף מסמ"ק</t>
  </si>
  <si>
    <t>משותף מסמ"ק בכניסה למתחם  לפני הבידוק המשותף</t>
  </si>
  <si>
    <t>עמדת מש"מ-דלפק כניסה</t>
  </si>
  <si>
    <t>משותף מסמ"ק בכניסה למתחם  לפני הבידוק</t>
  </si>
  <si>
    <t>חדר תקשורת וביטחון קומתי</t>
  </si>
  <si>
    <t xml:space="preserve">עם הפרדה </t>
  </si>
  <si>
    <t>לכל שתי חוליות שומה</t>
  </si>
  <si>
    <t>לפי מה חושב?</t>
  </si>
  <si>
    <t>משותף מסמ"ק - יהיה חדר אמהות אחד בבניין</t>
  </si>
  <si>
    <t>משותף מסמ"ק - יכלל בשטחים משותפים עם כלל היחידות הממשלתיות בבניין</t>
  </si>
  <si>
    <t>סה"כ כולל</t>
  </si>
  <si>
    <t>מקדם נטו \ ברוטו</t>
  </si>
  <si>
    <t>שטחי המתנה חושבו לפי כמויות קהל ממוצעות על סמך נתוני מערכת ממוחשבת לניהול תורים</t>
  </si>
  <si>
    <t>שטחי אחסון חושבו על סמך תחזית כמויות תיקים</t>
  </si>
  <si>
    <t>סוג עמדה: ס- סגורה   פ - פתוחה</t>
  </si>
  <si>
    <t>מעודכן לתאריך: 1.12.2022</t>
  </si>
  <si>
    <t>פרוגרמה עבור יחידת מיסוי מקרקעין מרכז</t>
  </si>
  <si>
    <t>דף מספר 1</t>
  </si>
  <si>
    <t>ממונה אזורי</t>
  </si>
  <si>
    <t xml:space="preserve">שמאי מחוזי/מנהל שומה </t>
  </si>
  <si>
    <t>רפרנט מקצועי</t>
  </si>
  <si>
    <t>נציג הנהלה / מקצועי / משפטי</t>
  </si>
  <si>
    <t>מתאים לישיבות הנהלה - לכמה משתתפים בו זמנית?</t>
  </si>
  <si>
    <t>צמוד לאמרכל. חדר לשני עובדים</t>
  </si>
  <si>
    <t>קרוב לארכיב</t>
  </si>
  <si>
    <t>עבור 10 אנשים לפי 0.8 לאדם</t>
  </si>
  <si>
    <t>רחוק מהכניסה ומיחידות ק. קהל - שניים בחדר</t>
  </si>
  <si>
    <t>גביה</t>
  </si>
  <si>
    <t>סטודנטים גביה</t>
  </si>
  <si>
    <t>כיצד חושב?</t>
  </si>
  <si>
    <t>לכל 2 חוליות</t>
  </si>
  <si>
    <t>לפי 2  מחסנים לחולית שומה</t>
  </si>
  <si>
    <t>פונקציות תמך נוספות מאוחדות עם פןנקציות תמך שמופיעות בפרוגראמה של מס הכנסה פתח תקוה</t>
  </si>
  <si>
    <t>מרחב פ"ת- משרד העלייה והקליטה</t>
  </si>
  <si>
    <t>שטח (מ"ר)</t>
  </si>
  <si>
    <t>כמות חדרים</t>
  </si>
  <si>
    <t xml:space="preserve">סה"כ מ"ר </t>
  </si>
  <si>
    <t>חדר סגנית מנהלת מרחב</t>
  </si>
  <si>
    <t>יועצים-מקבלי קהל</t>
  </si>
  <si>
    <t>עמדת הכוון</t>
  </si>
  <si>
    <t>גזבר+</t>
  </si>
  <si>
    <t xml:space="preserve">מטבחון </t>
  </si>
  <si>
    <t>חדר תקשורת+ מחסן</t>
  </si>
  <si>
    <t>סה"כ נטו (מ"ר)</t>
  </si>
  <si>
    <t>סה"כ ברוטו - מקדם 1.6</t>
  </si>
  <si>
    <t>פרוגרמה - פתח תקוה</t>
  </si>
  <si>
    <t>מ"ר ליחידה</t>
  </si>
  <si>
    <t>מספר עובדים/חדרים</t>
  </si>
  <si>
    <t>סה"כ כללי</t>
  </si>
  <si>
    <t>עמדת סטודנט</t>
  </si>
  <si>
    <t>חדר פסיכולוג/יועץ</t>
  </si>
  <si>
    <t>סה"כ מ"ר נטו</t>
  </si>
  <si>
    <t>סה"כ מ"ר ברוטו</t>
  </si>
  <si>
    <r>
      <t xml:space="preserve">נספח א': </t>
    </r>
    <r>
      <rPr>
        <b/>
        <u/>
        <sz val="14"/>
        <color theme="1"/>
        <rFont val="Narkisim"/>
        <family val="2"/>
      </rPr>
      <t>הגדרת צרכים מפורטת</t>
    </r>
    <r>
      <rPr>
        <sz val="14"/>
        <color theme="1"/>
        <rFont val="Narkisim"/>
        <family val="2"/>
      </rPr>
      <t xml:space="preserve"> </t>
    </r>
  </si>
  <si>
    <t xml:space="preserve">שירותי מבחן לנוער  </t>
  </si>
  <si>
    <t>שטח נטו של עמדה במ"ר</t>
  </si>
  <si>
    <t xml:space="preserve">קצין מבחן מחוזי </t>
  </si>
  <si>
    <t xml:space="preserve">סגן קצין מבחן מחוזי </t>
  </si>
  <si>
    <t>כל קצין מבחן בחדר נפרד, חדר דיסקרטי</t>
  </si>
  <si>
    <t xml:space="preserve">קצין מבחן - מנהל נפה </t>
  </si>
  <si>
    <t>מקיימת ישיבות בחדר עם קציני מבחן</t>
  </si>
  <si>
    <t xml:space="preserve">קצין מבחן נוער </t>
  </si>
  <si>
    <t xml:space="preserve">2 תקנים עתידיים </t>
  </si>
  <si>
    <t xml:space="preserve">עו"ס בכיר מעצרים </t>
  </si>
  <si>
    <t xml:space="preserve">קצין מבחן בכיר </t>
  </si>
  <si>
    <t xml:space="preserve">מדריכת קציני מבחן מפקח מעצרים </t>
  </si>
  <si>
    <t>מרכזת מנהל</t>
  </si>
  <si>
    <t>כולל שטח למכונת צילום ותאי דואר לכל היחידה</t>
  </si>
  <si>
    <t xml:space="preserve">מתאם של"צ /מרכז תכניות </t>
  </si>
  <si>
    <t xml:space="preserve">תקן עתידי </t>
  </si>
  <si>
    <t xml:space="preserve">מרכזת מנהל ובת שירות לאומי </t>
  </si>
  <si>
    <t xml:space="preserve">סטודנטים </t>
  </si>
  <si>
    <t xml:space="preserve">חדר ישיבות גדול </t>
  </si>
  <si>
    <r>
      <t>משותף</t>
    </r>
    <r>
      <rPr>
        <sz val="12"/>
        <color theme="1"/>
        <rFont val="Narkisim"/>
        <family val="2"/>
      </rPr>
      <t xml:space="preserve">, ישמש שני שירותי המבחן לישיבות הנהלת המחוז </t>
    </r>
  </si>
  <si>
    <t>ארכיב היחידה</t>
  </si>
  <si>
    <t>מחושב לפי מס' תיקים המטופלים בשירות בתקופה של 10 שנים. ארכיב נפרדים מיתר היחידות.</t>
  </si>
  <si>
    <t>חדר קבוצות רב תכליתי</t>
  </si>
  <si>
    <t>לקיום קבוצות וישיבות צוות. מיועד לישיבה של כ- 20 איש. חדר נפרדים  ליחידה זו.</t>
  </si>
  <si>
    <t>נפרד לשירות זה</t>
  </si>
  <si>
    <t>המתנה למטופלים בשירות</t>
  </si>
  <si>
    <t xml:space="preserve">לכ- 15 ממתינים בו זמנית </t>
  </si>
  <si>
    <t>חדר תקשורת מחשבים</t>
  </si>
  <si>
    <r>
      <t>משותף</t>
    </r>
    <r>
      <rPr>
        <sz val="12"/>
        <color theme="1"/>
        <rFont val="Narkisim"/>
        <family val="2"/>
      </rPr>
      <t xml:space="preserve"> עם כל היחידות המשרד במבנה.</t>
    </r>
  </si>
  <si>
    <t xml:space="preserve">שירותים לעובדים ובדיקות שתן </t>
  </si>
  <si>
    <t xml:space="preserve">כולל פינה לבודק שתן, נפרדת ליח' זו </t>
  </si>
  <si>
    <t xml:space="preserve">אזור בידוק ביטחוני ועמדת מאבטח </t>
  </si>
  <si>
    <r>
      <t xml:space="preserve">משותף </t>
    </r>
    <r>
      <rPr>
        <sz val="12"/>
        <color theme="1"/>
        <rFont val="Narkisim"/>
        <family val="2"/>
      </rPr>
      <t xml:space="preserve">עם שירות המבחן למבוגרים </t>
    </r>
  </si>
  <si>
    <t xml:space="preserve">שירות מבחן למבוגרים </t>
  </si>
  <si>
    <t>קצין מבחן</t>
  </si>
  <si>
    <t xml:space="preserve">כל קצין מבחן בחדר נפרד כולל תוספת תקן קצין מבחן לפי תכנית ההטיה . חדרים דיסקרטיים . </t>
  </si>
  <si>
    <t>עו"ס בכיר מעצרים</t>
  </si>
  <si>
    <t xml:space="preserve">כל  קצין מבחן בחדר נפרד , כולל תוספת תקן פיקוח אלקטרוני. חדרים דיסקרטיים. </t>
  </si>
  <si>
    <t>מדריכה קציני מבחן</t>
  </si>
  <si>
    <t>בחדר מתקיימות הדרכות של מספר קציני המבחן בו זמנית.</t>
  </si>
  <si>
    <t xml:space="preserve">מפקחים מחוזיים  </t>
  </si>
  <si>
    <t xml:space="preserve"> חדר דיסקרטי. </t>
  </si>
  <si>
    <t>מנהל נפה</t>
  </si>
  <si>
    <t xml:space="preserve">מרכז מתאם של"צ </t>
  </si>
  <si>
    <t xml:space="preserve">מרכזת מזכירה  </t>
  </si>
  <si>
    <t>כולל מכונת צילום ותאי דואר</t>
  </si>
  <si>
    <t xml:space="preserve">מתמחים/סטודנטים </t>
  </si>
  <si>
    <t xml:space="preserve">2 בחדר </t>
  </si>
  <si>
    <t xml:space="preserve">ארכיב          </t>
  </si>
  <si>
    <t>מחושב לפי מספר תיקים המטופלים בשירות בתקופה של 7 שנים בכפוף להוראות החוק.</t>
  </si>
  <si>
    <r>
      <t>מיועד לקבוצות וישיבות צוות עד 20</t>
    </r>
    <r>
      <rPr>
        <b/>
        <sz val="12"/>
        <color theme="1"/>
        <rFont val="Narkisim"/>
        <family val="2"/>
      </rPr>
      <t xml:space="preserve"> </t>
    </r>
    <r>
      <rPr>
        <sz val="12"/>
        <color theme="1"/>
        <rFont val="Narkisim"/>
        <family val="2"/>
      </rPr>
      <t>איש. חדרים  נפרדים לשירות זה.</t>
    </r>
  </si>
  <si>
    <t xml:space="preserve">מיועד להמתנה של 15 איש בו זמנית </t>
  </si>
  <si>
    <t xml:space="preserve">נפרד לשירות זה </t>
  </si>
  <si>
    <r>
      <t>משותף</t>
    </r>
    <r>
      <rPr>
        <sz val="12"/>
        <color theme="1"/>
        <rFont val="Narkisim"/>
        <family val="2"/>
      </rPr>
      <t xml:space="preserve"> עם יתר היחידות</t>
    </r>
  </si>
  <si>
    <t xml:space="preserve">כולל פינה לבודק שתן, נפרדת ליח' זו. </t>
  </si>
  <si>
    <t>מ"ר ברוטו</t>
  </si>
  <si>
    <t>משרד התחבורה - משרד הרישוי</t>
  </si>
  <si>
    <t>רישוי</t>
  </si>
  <si>
    <t>משותפים</t>
  </si>
  <si>
    <t>דלפקי שרותי בודקי מסמכים</t>
  </si>
  <si>
    <t>אזור המתנה לקהל</t>
  </si>
  <si>
    <t>תקשורת ציוד מחשוב</t>
  </si>
  <si>
    <t>מחסן ציוד וטפסים</t>
  </si>
  <si>
    <t>מטבחון ושרותי עובדים</t>
  </si>
  <si>
    <t>דלפק סדרן</t>
  </si>
  <si>
    <t xml:space="preserve">רשות המיסים </t>
  </si>
  <si>
    <t>יחידת הנפה פ"ת</t>
  </si>
  <si>
    <t>אגף רישום והסדר מקרקעין</t>
  </si>
  <si>
    <t>מס הכנסה</t>
  </si>
  <si>
    <t>מיסוי מקרקעין</t>
  </si>
  <si>
    <t>מוקד פיצויים</t>
  </si>
  <si>
    <t>משרד הרווחה</t>
  </si>
  <si>
    <t xml:space="preserve">משרד התחבורה </t>
  </si>
  <si>
    <t>רישוי פ"ת</t>
  </si>
  <si>
    <t>לשכת פ"ת</t>
  </si>
  <si>
    <t>שרות מבחן לנוער ושרות מבחן מבוגרים</t>
  </si>
  <si>
    <t>יתוכנן בבניין כחלק משטח של רשות המיסים</t>
  </si>
  <si>
    <t xml:space="preserve">* מטבח מבשל וחדר אוכל - במידה ויהיה מענה במבנה ובמתחם ע"י השוכר והמשרדים יגיעו לסיכום מול השוכר, ייתכן והשטח יתייתר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</si>
</sst>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0.0"/>
    <numFmt numFmtId="165" formatCode="#,##0_ ;\-#,##0\ "/>
    <numFmt numFmtId="166" formatCode="#,##0.0"/>
    <numFmt numFmtId="167" formatCode="_ * #,##0_ ;_ * \-#,##0_ ;_ * &quot;-&quot;??_ ;_ @_ "/>
  </numFmts>
  <fonts count="93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Calibri"/>
      <family val="2"/>
    </font>
    <font>
      <sz val="12"/>
      <name val="Arial"/>
      <family val="2"/>
      <charset val="177"/>
    </font>
    <font>
      <sz val="10"/>
      <name val="Arial"/>
      <family val="2"/>
    </font>
    <font>
      <b/>
      <sz val="11"/>
      <color theme="1"/>
      <name val="Arial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  <scheme val="minor"/>
    </font>
    <font>
      <b/>
      <u/>
      <sz val="12"/>
      <name val="Arial"/>
      <family val="2"/>
    </font>
    <font>
      <sz val="11"/>
      <name val="Arial"/>
      <family val="2"/>
      <charset val="177"/>
      <scheme val="minor"/>
    </font>
    <font>
      <b/>
      <sz val="12"/>
      <name val="David"/>
      <family val="2"/>
      <charset val="177"/>
    </font>
    <font>
      <b/>
      <sz val="11"/>
      <name val="Arial"/>
      <family val="2"/>
      <scheme val="minor"/>
    </font>
    <font>
      <sz val="12"/>
      <name val="David"/>
      <family val="2"/>
      <charset val="177"/>
    </font>
    <font>
      <b/>
      <u/>
      <sz val="11"/>
      <name val="Arial"/>
      <family val="2"/>
      <scheme val="minor"/>
    </font>
    <font>
      <sz val="11"/>
      <name val="Arial"/>
      <family val="2"/>
      <scheme val="minor"/>
    </font>
    <font>
      <sz val="12"/>
      <name val="David"/>
      <family val="2"/>
    </font>
    <font>
      <sz val="10"/>
      <color rgb="FFFF0000"/>
      <name val="Arial"/>
      <family val="2"/>
    </font>
    <font>
      <b/>
      <sz val="12"/>
      <color rgb="FF002060"/>
      <name val="David"/>
      <family val="2"/>
      <charset val="177"/>
    </font>
    <font>
      <sz val="10"/>
      <name val="David"/>
      <family val="2"/>
      <charset val="177"/>
    </font>
    <font>
      <sz val="10"/>
      <name val="David"/>
      <family val="2"/>
    </font>
    <font>
      <b/>
      <sz val="12"/>
      <color rgb="FF002060"/>
      <name val="David"/>
      <family val="2"/>
    </font>
    <font>
      <sz val="10"/>
      <color rgb="FF002060"/>
      <name val="Arial"/>
      <family val="2"/>
    </font>
    <font>
      <b/>
      <sz val="10"/>
      <color rgb="FF002060"/>
      <name val="Arial"/>
      <family val="2"/>
    </font>
    <font>
      <b/>
      <sz val="14"/>
      <color rgb="FFFF0000"/>
      <name val="David"/>
      <family val="2"/>
    </font>
    <font>
      <sz val="10"/>
      <color theme="1"/>
      <name val="Arial"/>
      <family val="2"/>
      <scheme val="minor"/>
    </font>
    <font>
      <sz val="11"/>
      <name val="David"/>
      <family val="2"/>
    </font>
    <font>
      <b/>
      <sz val="11"/>
      <name val="David"/>
      <family val="2"/>
    </font>
    <font>
      <b/>
      <sz val="11"/>
      <color theme="1" tint="0.499984740745262"/>
      <name val="Arial"/>
      <family val="2"/>
      <scheme val="minor"/>
    </font>
    <font>
      <sz val="11"/>
      <color theme="1" tint="0.499984740745262"/>
      <name val="Arial"/>
      <family val="2"/>
      <scheme val="minor"/>
    </font>
    <font>
      <sz val="12"/>
      <name val="Arial"/>
      <family val="2"/>
      <scheme val="minor"/>
    </font>
    <font>
      <b/>
      <sz val="12"/>
      <name val="David"/>
      <family val="2"/>
    </font>
    <font>
      <sz val="8"/>
      <name val="Arial"/>
      <family val="2"/>
      <charset val="177"/>
      <scheme val="minor"/>
    </font>
    <font>
      <sz val="10"/>
      <name val="Arial"/>
      <charset val="177"/>
    </font>
    <font>
      <b/>
      <sz val="11"/>
      <color theme="1"/>
      <name val="Arial"/>
      <family val="2"/>
      <charset val="177"/>
      <scheme val="minor"/>
    </font>
    <font>
      <sz val="12"/>
      <color rgb="FF0000FF"/>
      <name val="David"/>
      <family val="2"/>
    </font>
    <font>
      <b/>
      <u/>
      <sz val="18"/>
      <color rgb="FF0000FF"/>
      <name val="David"/>
      <family val="2"/>
    </font>
    <font>
      <b/>
      <sz val="12"/>
      <color rgb="FF0000FF"/>
      <name val="David"/>
      <family val="2"/>
    </font>
    <font>
      <b/>
      <u/>
      <sz val="18"/>
      <name val="David"/>
      <family val="2"/>
    </font>
    <font>
      <b/>
      <sz val="14"/>
      <name val="David"/>
      <family val="2"/>
      <charset val="177"/>
    </font>
    <font>
      <b/>
      <strike/>
      <sz val="11"/>
      <name val="David"/>
      <family val="2"/>
    </font>
    <font>
      <b/>
      <sz val="12"/>
      <name val="Arial"/>
      <family val="2"/>
      <charset val="177"/>
      <scheme val="minor"/>
    </font>
    <font>
      <sz val="12"/>
      <name val="Arial"/>
      <family val="2"/>
      <charset val="177"/>
      <scheme val="minor"/>
    </font>
    <font>
      <b/>
      <i/>
      <sz val="14"/>
      <name val="Arial"/>
      <family val="2"/>
    </font>
    <font>
      <b/>
      <i/>
      <sz val="14"/>
      <color rgb="FFFF0000"/>
      <name val="Arial"/>
      <family val="2"/>
    </font>
    <font>
      <b/>
      <sz val="14"/>
      <name val="Arial"/>
      <family val="2"/>
      <charset val="177"/>
      <scheme val="minor"/>
    </font>
    <font>
      <sz val="14"/>
      <name val="Arial"/>
      <family val="2"/>
      <charset val="177"/>
      <scheme val="minor"/>
    </font>
    <font>
      <b/>
      <sz val="16"/>
      <name val="Arial"/>
      <family val="2"/>
      <charset val="177"/>
      <scheme val="minor"/>
    </font>
    <font>
      <u/>
      <sz val="14"/>
      <name val="David"/>
      <family val="2"/>
      <charset val="177"/>
    </font>
    <font>
      <sz val="14"/>
      <name val="David"/>
      <family val="2"/>
      <charset val="177"/>
    </font>
    <font>
      <b/>
      <sz val="11"/>
      <name val="David"/>
      <family val="2"/>
      <charset val="177"/>
    </font>
    <font>
      <b/>
      <sz val="10"/>
      <name val="David"/>
      <family val="2"/>
      <charset val="177"/>
    </font>
    <font>
      <b/>
      <sz val="18"/>
      <name val="David"/>
      <family val="2"/>
      <charset val="177"/>
    </font>
    <font>
      <sz val="10"/>
      <color theme="1"/>
      <name val="Arial"/>
      <family val="2"/>
      <charset val="177"/>
      <scheme val="minor"/>
    </font>
    <font>
      <b/>
      <sz val="16"/>
      <color rgb="FF0158A8"/>
      <name val="Calibri"/>
      <family val="2"/>
    </font>
    <font>
      <b/>
      <sz val="14"/>
      <color rgb="FF0158A8"/>
      <name val="Calibri"/>
      <family val="2"/>
    </font>
    <font>
      <b/>
      <sz val="20"/>
      <color theme="1"/>
      <name val="David"/>
      <family val="2"/>
    </font>
    <font>
      <b/>
      <u/>
      <sz val="14"/>
      <color rgb="FF0158A8"/>
      <name val="Calibri"/>
      <family val="2"/>
    </font>
    <font>
      <sz val="11"/>
      <color theme="1"/>
      <name val="Calibri"/>
      <family val="2"/>
    </font>
    <font>
      <b/>
      <sz val="2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sz val="11"/>
      <color theme="8"/>
      <name val="Calibri"/>
      <family val="2"/>
    </font>
    <font>
      <b/>
      <sz val="14"/>
      <color theme="8"/>
      <name val="Calibri"/>
      <family val="2"/>
    </font>
    <font>
      <sz val="14"/>
      <color theme="8"/>
      <name val="Calibri"/>
      <family val="2"/>
    </font>
    <font>
      <b/>
      <sz val="10"/>
      <color rgb="FF0070C0"/>
      <name val="Calibri"/>
      <family val="2"/>
    </font>
    <font>
      <b/>
      <sz val="11"/>
      <color rgb="FF0070C0"/>
      <name val="Calibri"/>
      <family val="2"/>
    </font>
    <font>
      <b/>
      <sz val="11"/>
      <color theme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sz val="9"/>
      <name val="Calibri"/>
      <family val="2"/>
    </font>
    <font>
      <b/>
      <sz val="12"/>
      <color theme="8"/>
      <name val="Calibri"/>
      <family val="2"/>
    </font>
    <font>
      <b/>
      <sz val="10"/>
      <name val="Calibri"/>
      <family val="2"/>
    </font>
    <font>
      <b/>
      <sz val="9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20"/>
      <color theme="1"/>
      <name val="Calibri"/>
      <family val="2"/>
    </font>
    <font>
      <b/>
      <sz val="14"/>
      <color rgb="FF7030A0"/>
      <name val="Calibri"/>
      <family val="2"/>
    </font>
    <font>
      <b/>
      <sz val="14"/>
      <color rgb="FF0070C0"/>
      <name val="Calibri"/>
      <family val="2"/>
    </font>
    <font>
      <b/>
      <sz val="12"/>
      <color theme="1"/>
      <name val="Arial"/>
      <family val="2"/>
      <scheme val="minor"/>
    </font>
    <font>
      <sz val="14"/>
      <color theme="1"/>
      <name val="Narkisim"/>
      <family val="2"/>
    </font>
    <font>
      <b/>
      <sz val="14"/>
      <color theme="1"/>
      <name val="Narkisim"/>
      <family val="2"/>
    </font>
    <font>
      <b/>
      <u/>
      <sz val="14"/>
      <color theme="1"/>
      <name val="Narkisim"/>
      <family val="2"/>
    </font>
    <font>
      <b/>
      <u/>
      <sz val="12"/>
      <color theme="1"/>
      <name val="Narkisim"/>
      <family val="2"/>
    </font>
    <font>
      <b/>
      <sz val="12"/>
      <color theme="1"/>
      <name val="Narkisim"/>
      <family val="2"/>
    </font>
    <font>
      <sz val="12"/>
      <color theme="1"/>
      <name val="Narkisim"/>
      <family val="2"/>
    </font>
  </fonts>
  <fills count="28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8FEB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33" fillId="0" borderId="0"/>
    <xf numFmtId="43" fontId="33" fillId="0" borderId="0" applyFont="0" applyFill="0" applyBorder="0" applyAlignment="0" applyProtection="0"/>
  </cellStyleXfs>
  <cellXfs count="634">
    <xf numFmtId="0" fontId="0" fillId="0" borderId="0" xfId="0"/>
    <xf numFmtId="0" fontId="0" fillId="0" borderId="1" xfId="0" applyBorder="1"/>
    <xf numFmtId="0" fontId="8" fillId="0" borderId="0" xfId="0" applyFont="1"/>
    <xf numFmtId="0" fontId="6" fillId="3" borderId="1" xfId="3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center" vertical="center" wrapText="1" readingOrder="2"/>
    </xf>
    <xf numFmtId="164" fontId="6" fillId="3" borderId="1" xfId="3" applyNumberFormat="1" applyFont="1" applyFill="1" applyBorder="1" applyAlignment="1">
      <alignment horizontal="center" vertical="center" wrapText="1"/>
    </xf>
    <xf numFmtId="0" fontId="6" fillId="3" borderId="1" xfId="3" applyFont="1" applyFill="1" applyBorder="1" applyAlignment="1">
      <alignment horizontal="right" vertical="center" wrapText="1" readingOrder="2"/>
    </xf>
    <xf numFmtId="0" fontId="6" fillId="7" borderId="1" xfId="3" applyFont="1" applyFill="1" applyBorder="1" applyAlignment="1">
      <alignment horizontal="center" vertical="center" wrapText="1"/>
    </xf>
    <xf numFmtId="0" fontId="6" fillId="7" borderId="1" xfId="3" applyFont="1" applyFill="1" applyBorder="1" applyAlignment="1">
      <alignment horizontal="center" vertical="center" wrapText="1" readingOrder="2"/>
    </xf>
    <xf numFmtId="0" fontId="6" fillId="7" borderId="1" xfId="3" applyFont="1" applyFill="1" applyBorder="1" applyAlignment="1">
      <alignment horizontal="right" vertical="center" wrapText="1"/>
    </xf>
    <xf numFmtId="165" fontId="6" fillId="7" borderId="1" xfId="1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vertical="center" readingOrder="2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7" fillId="4" borderId="1" xfId="3" applyFont="1" applyFill="1" applyBorder="1" applyAlignment="1">
      <alignment horizontal="center" vertical="center" wrapText="1"/>
    </xf>
    <xf numFmtId="0" fontId="7" fillId="4" borderId="1" xfId="3" applyFont="1" applyFill="1" applyBorder="1" applyAlignment="1">
      <alignment horizontal="center" vertical="center" wrapText="1" readingOrder="2"/>
    </xf>
    <xf numFmtId="3" fontId="7" fillId="4" borderId="1" xfId="3" applyNumberFormat="1" applyFont="1" applyFill="1" applyBorder="1" applyAlignment="1">
      <alignment horizontal="center" vertical="center" wrapText="1"/>
    </xf>
    <xf numFmtId="0" fontId="7" fillId="4" borderId="1" xfId="3" applyFont="1" applyFill="1" applyBorder="1" applyAlignment="1">
      <alignment horizontal="right" vertical="center" wrapText="1" readingOrder="2"/>
    </xf>
    <xf numFmtId="0" fontId="7" fillId="7" borderId="1" xfId="3" applyFont="1" applyFill="1" applyBorder="1" applyAlignment="1">
      <alignment horizontal="center" vertical="center" wrapText="1"/>
    </xf>
    <xf numFmtId="0" fontId="7" fillId="7" borderId="1" xfId="3" applyFont="1" applyFill="1" applyBorder="1" applyAlignment="1">
      <alignment horizontal="center" vertical="center" wrapText="1" readingOrder="2"/>
    </xf>
    <xf numFmtId="1" fontId="7" fillId="7" borderId="1" xfId="3" applyNumberFormat="1" applyFont="1" applyFill="1" applyBorder="1" applyAlignment="1">
      <alignment horizontal="center" vertical="center" wrapText="1"/>
    </xf>
    <xf numFmtId="0" fontId="7" fillId="7" borderId="1" xfId="3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0" xfId="0" applyFont="1"/>
    <xf numFmtId="0" fontId="15" fillId="4" borderId="1" xfId="3" applyFont="1" applyFill="1" applyBorder="1" applyAlignment="1">
      <alignment horizontal="center" vertical="center" wrapText="1"/>
    </xf>
    <xf numFmtId="0" fontId="15" fillId="7" borderId="1" xfId="3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2" fillId="3" borderId="1" xfId="3" applyFont="1" applyFill="1" applyBorder="1" applyAlignment="1">
      <alignment horizontal="center" vertical="center" wrapText="1" readingOrder="2"/>
    </xf>
    <xf numFmtId="0" fontId="12" fillId="3" borderId="1" xfId="3" applyFont="1" applyFill="1" applyBorder="1" applyAlignment="1">
      <alignment horizontal="center" vertical="center"/>
    </xf>
    <xf numFmtId="164" fontId="12" fillId="3" borderId="1" xfId="3" applyNumberFormat="1" applyFont="1" applyFill="1" applyBorder="1" applyAlignment="1">
      <alignment horizontal="center" vertical="center" wrapText="1"/>
    </xf>
    <xf numFmtId="164" fontId="12" fillId="3" borderId="1" xfId="3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7" borderId="1" xfId="3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12" fillId="7" borderId="1" xfId="3" applyNumberFormat="1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horizontal="left"/>
    </xf>
    <xf numFmtId="0" fontId="14" fillId="0" borderId="0" xfId="0" applyFont="1"/>
    <xf numFmtId="0" fontId="8" fillId="0" borderId="0" xfId="0" applyFont="1" applyAlignment="1">
      <alignment horizontal="center" vertical="center"/>
    </xf>
    <xf numFmtId="0" fontId="12" fillId="4" borderId="1" xfId="3" applyFont="1" applyFill="1" applyBorder="1" applyAlignment="1">
      <alignment horizontal="center" vertical="center" wrapText="1"/>
    </xf>
    <xf numFmtId="164" fontId="12" fillId="4" borderId="1" xfId="3" applyNumberFormat="1" applyFont="1" applyFill="1" applyBorder="1" applyAlignment="1">
      <alignment horizontal="center" vertical="center" wrapText="1"/>
    </xf>
    <xf numFmtId="165" fontId="12" fillId="7" borderId="1" xfId="1" applyNumberFormat="1" applyFont="1" applyFill="1" applyBorder="1" applyAlignment="1">
      <alignment horizontal="center" vertical="center" wrapText="1"/>
    </xf>
    <xf numFmtId="164" fontId="12" fillId="4" borderId="1" xfId="1" applyNumberFormat="1" applyFont="1" applyFill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 readingOrder="2"/>
    </xf>
    <xf numFmtId="0" fontId="8" fillId="0" borderId="1" xfId="0" applyFont="1" applyBorder="1" applyAlignment="1">
      <alignment horizontal="center" vertical="center" wrapText="1"/>
    </xf>
    <xf numFmtId="165" fontId="8" fillId="0" borderId="0" xfId="1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65" fontId="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right" vertical="center" readingOrder="2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/>
    <xf numFmtId="0" fontId="5" fillId="2" borderId="12" xfId="0" applyFont="1" applyFill="1" applyBorder="1" applyAlignment="1">
      <alignment horizontal="center" vertical="center" readingOrder="2"/>
    </xf>
    <xf numFmtId="0" fontId="5" fillId="2" borderId="18" xfId="0" applyFont="1" applyFill="1" applyBorder="1" applyAlignment="1">
      <alignment horizontal="center" vertical="center" readingOrder="2"/>
    </xf>
    <xf numFmtId="0" fontId="5" fillId="2" borderId="13" xfId="0" applyFont="1" applyFill="1" applyBorder="1" applyAlignment="1">
      <alignment horizontal="center" vertical="center" wrapText="1" readingOrder="2"/>
    </xf>
    <xf numFmtId="0" fontId="8" fillId="0" borderId="14" xfId="0" applyFont="1" applyBorder="1"/>
    <xf numFmtId="165" fontId="8" fillId="0" borderId="15" xfId="1" applyNumberFormat="1" applyFont="1" applyBorder="1" applyAlignment="1">
      <alignment horizontal="center" vertical="center"/>
    </xf>
    <xf numFmtId="0" fontId="8" fillId="0" borderId="16" xfId="0" applyFont="1" applyBorder="1"/>
    <xf numFmtId="0" fontId="8" fillId="0" borderId="19" xfId="0" applyFont="1" applyFill="1" applyBorder="1" applyAlignment="1">
      <alignment horizontal="right" vertical="center" readingOrder="2"/>
    </xf>
    <xf numFmtId="0" fontId="8" fillId="0" borderId="19" xfId="0" applyFont="1" applyBorder="1"/>
    <xf numFmtId="165" fontId="8" fillId="0" borderId="17" xfId="1" applyNumberFormat="1" applyFont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 readingOrder="2"/>
    </xf>
    <xf numFmtId="0" fontId="5" fillId="11" borderId="1" xfId="0" applyFont="1" applyFill="1" applyBorder="1"/>
    <xf numFmtId="0" fontId="5" fillId="11" borderId="1" xfId="0" applyFont="1" applyFill="1" applyBorder="1" applyAlignment="1">
      <alignment horizontal="right" vertical="center" readingOrder="2"/>
    </xf>
    <xf numFmtId="165" fontId="5" fillId="11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3" fontId="0" fillId="0" borderId="0" xfId="0" applyNumberFormat="1"/>
    <xf numFmtId="0" fontId="8" fillId="0" borderId="1" xfId="0" applyFont="1" applyBorder="1" applyAlignment="1">
      <alignment horizontal="right" readingOrder="2"/>
    </xf>
    <xf numFmtId="166" fontId="26" fillId="5" borderId="1" xfId="0" applyNumberFormat="1" applyFont="1" applyFill="1" applyBorder="1" applyAlignment="1">
      <alignment horizontal="right" vertical="center"/>
    </xf>
    <xf numFmtId="166" fontId="20" fillId="0" borderId="1" xfId="0" applyNumberFormat="1" applyFont="1" applyBorder="1" applyAlignment="1">
      <alignment horizontal="right" vertical="center"/>
    </xf>
    <xf numFmtId="166" fontId="26" fillId="0" borderId="1" xfId="0" applyNumberFormat="1" applyFont="1" applyBorder="1" applyAlignment="1">
      <alignment horizontal="right" vertical="center"/>
    </xf>
    <xf numFmtId="166" fontId="27" fillId="0" borderId="1" xfId="0" applyNumberFormat="1" applyFont="1" applyBorder="1" applyAlignment="1">
      <alignment horizontal="right" vertical="center"/>
    </xf>
    <xf numFmtId="166" fontId="27" fillId="5" borderId="1" xfId="0" applyNumberFormat="1" applyFont="1" applyFill="1" applyBorder="1" applyAlignment="1">
      <alignment horizontal="right" vertical="center"/>
    </xf>
    <xf numFmtId="0" fontId="28" fillId="0" borderId="22" xfId="0" applyFont="1" applyFill="1" applyBorder="1" applyAlignment="1">
      <alignment horizontal="center" vertical="center" wrapText="1" readingOrder="2"/>
    </xf>
    <xf numFmtId="165" fontId="29" fillId="0" borderId="0" xfId="1" applyNumberFormat="1" applyFont="1" applyBorder="1" applyAlignment="1">
      <alignment horizontal="center" vertical="center"/>
    </xf>
    <xf numFmtId="9" fontId="29" fillId="0" borderId="14" xfId="2" applyFont="1" applyBorder="1" applyAlignment="1">
      <alignment horizontal="center" vertical="center"/>
    </xf>
    <xf numFmtId="1" fontId="29" fillId="0" borderId="1" xfId="0" applyNumberFormat="1" applyFont="1" applyBorder="1" applyAlignment="1">
      <alignment horizontal="center" vertical="center"/>
    </xf>
    <xf numFmtId="9" fontId="29" fillId="0" borderId="0" xfId="2" applyFont="1" applyBorder="1" applyAlignment="1">
      <alignment vertical="center"/>
    </xf>
    <xf numFmtId="1" fontId="29" fillId="0" borderId="0" xfId="0" applyNumberFormat="1" applyFont="1" applyBorder="1" applyAlignment="1">
      <alignment vertical="center"/>
    </xf>
    <xf numFmtId="0" fontId="29" fillId="0" borderId="0" xfId="0" applyFont="1" applyBorder="1"/>
    <xf numFmtId="0" fontId="29" fillId="0" borderId="0" xfId="0" applyFont="1"/>
    <xf numFmtId="0" fontId="29" fillId="0" borderId="0" xfId="0" applyFont="1" applyBorder="1" applyAlignment="1">
      <alignment horizontal="center" vertical="center"/>
    </xf>
    <xf numFmtId="165" fontId="28" fillId="0" borderId="0" xfId="0" applyNumberFormat="1" applyFont="1" applyFill="1" applyBorder="1" applyAlignment="1">
      <alignment horizontal="center" vertical="center"/>
    </xf>
    <xf numFmtId="9" fontId="29" fillId="0" borderId="1" xfId="0" applyNumberFormat="1" applyFont="1" applyBorder="1" applyAlignment="1">
      <alignment horizontal="center" vertical="center"/>
    </xf>
    <xf numFmtId="0" fontId="28" fillId="2" borderId="12" xfId="0" applyFont="1" applyFill="1" applyBorder="1" applyAlignment="1">
      <alignment horizontal="center" vertical="center" wrapText="1" readingOrder="2"/>
    </xf>
    <xf numFmtId="0" fontId="28" fillId="2" borderId="18" xfId="0" applyFont="1" applyFill="1" applyBorder="1" applyAlignment="1">
      <alignment horizontal="center" vertical="center" wrapText="1" readingOrder="2"/>
    </xf>
    <xf numFmtId="3" fontId="29" fillId="0" borderId="26" xfId="0" applyNumberFormat="1" applyFont="1" applyBorder="1" applyAlignment="1">
      <alignment horizontal="center" vertical="center"/>
    </xf>
    <xf numFmtId="165" fontId="29" fillId="0" borderId="10" xfId="0" applyNumberFormat="1" applyFont="1" applyBorder="1" applyAlignment="1">
      <alignment horizontal="center" vertical="center"/>
    </xf>
    <xf numFmtId="0" fontId="28" fillId="10" borderId="1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 readingOrder="2"/>
    </xf>
    <xf numFmtId="0" fontId="28" fillId="2" borderId="36" xfId="0" applyFont="1" applyFill="1" applyBorder="1" applyAlignment="1">
      <alignment horizontal="center" vertical="center" readingOrder="2"/>
    </xf>
    <xf numFmtId="3" fontId="29" fillId="0" borderId="25" xfId="0" applyNumberFormat="1" applyFont="1" applyBorder="1" applyAlignment="1">
      <alignment horizontal="center" vertical="center"/>
    </xf>
    <xf numFmtId="0" fontId="29" fillId="0" borderId="23" xfId="0" applyFont="1" applyBorder="1" applyAlignment="1">
      <alignment horizontal="center"/>
    </xf>
    <xf numFmtId="0" fontId="29" fillId="0" borderId="23" xfId="0" applyFont="1" applyBorder="1"/>
    <xf numFmtId="1" fontId="29" fillId="0" borderId="27" xfId="0" applyNumberFormat="1" applyFont="1" applyBorder="1" applyAlignment="1">
      <alignment horizontal="center" vertical="center"/>
    </xf>
    <xf numFmtId="0" fontId="28" fillId="2" borderId="24" xfId="0" applyFont="1" applyFill="1" applyBorder="1" applyAlignment="1">
      <alignment horizontal="center" vertical="center" readingOrder="2"/>
    </xf>
    <xf numFmtId="165" fontId="29" fillId="9" borderId="10" xfId="0" applyNumberFormat="1" applyFont="1" applyFill="1" applyBorder="1" applyAlignment="1">
      <alignment horizontal="center" vertical="center"/>
    </xf>
    <xf numFmtId="0" fontId="28" fillId="2" borderId="7" xfId="0" applyFont="1" applyFill="1" applyBorder="1" applyAlignment="1">
      <alignment horizontal="center" vertical="center" readingOrder="2"/>
    </xf>
    <xf numFmtId="0" fontId="28" fillId="2" borderId="37" xfId="0" applyFont="1" applyFill="1" applyBorder="1" applyAlignment="1">
      <alignment horizontal="center" vertical="center" wrapText="1" readingOrder="2"/>
    </xf>
    <xf numFmtId="165" fontId="28" fillId="10" borderId="15" xfId="0" applyNumberFormat="1" applyFont="1" applyFill="1" applyBorder="1" applyAlignment="1">
      <alignment horizontal="center" vertical="center"/>
    </xf>
    <xf numFmtId="0" fontId="29" fillId="0" borderId="21" xfId="0" applyFont="1" applyBorder="1"/>
    <xf numFmtId="0" fontId="29" fillId="0" borderId="22" xfId="0" applyFont="1" applyBorder="1"/>
    <xf numFmtId="0" fontId="29" fillId="0" borderId="16" xfId="0" applyFont="1" applyBorder="1"/>
    <xf numFmtId="165" fontId="29" fillId="11" borderId="17" xfId="0" applyNumberFormat="1" applyFont="1" applyFill="1" applyBorder="1"/>
    <xf numFmtId="0" fontId="29" fillId="0" borderId="26" xfId="0" applyFont="1" applyBorder="1" applyAlignment="1">
      <alignment horizontal="center" vertical="center"/>
    </xf>
    <xf numFmtId="165" fontId="28" fillId="10" borderId="15" xfId="0" applyNumberFormat="1" applyFont="1" applyFill="1" applyBorder="1" applyAlignment="1">
      <alignment horizontal="center" vertical="center"/>
    </xf>
    <xf numFmtId="0" fontId="28" fillId="10" borderId="14" xfId="0" applyFont="1" applyFill="1" applyBorder="1" applyAlignment="1">
      <alignment horizontal="center" vertical="center" wrapText="1"/>
    </xf>
    <xf numFmtId="0" fontId="26" fillId="5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2" fillId="3" borderId="1" xfId="3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35" fillId="0" borderId="0" xfId="0" applyFont="1"/>
    <xf numFmtId="0" fontId="16" fillId="0" borderId="0" xfId="0" applyFont="1"/>
    <xf numFmtId="0" fontId="38" fillId="0" borderId="0" xfId="0" applyFont="1"/>
    <xf numFmtId="0" fontId="31" fillId="5" borderId="0" xfId="0" applyFont="1" applyFill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0" xfId="0" applyFont="1"/>
    <xf numFmtId="0" fontId="26" fillId="5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166" fontId="26" fillId="0" borderId="0" xfId="0" applyNumberFormat="1" applyFont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39" fillId="12" borderId="1" xfId="0" applyFont="1" applyFill="1" applyBorder="1" applyAlignment="1">
      <alignment wrapText="1"/>
    </xf>
    <xf numFmtId="0" fontId="16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6" fillId="5" borderId="1" xfId="0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right" vertical="center"/>
    </xf>
    <xf numFmtId="2" fontId="13" fillId="0" borderId="1" xfId="0" applyNumberFormat="1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/>
    </xf>
    <xf numFmtId="166" fontId="26" fillId="5" borderId="1" xfId="0" applyNumberFormat="1" applyFont="1" applyFill="1" applyBorder="1" applyAlignment="1">
      <alignment horizontal="center" vertical="center"/>
    </xf>
    <xf numFmtId="1" fontId="26" fillId="5" borderId="1" xfId="0" applyNumberFormat="1" applyFont="1" applyFill="1" applyBorder="1" applyAlignment="1">
      <alignment horizontal="right" vertical="center"/>
    </xf>
    <xf numFmtId="0" fontId="16" fillId="0" borderId="1" xfId="0" applyFont="1" applyBorder="1"/>
    <xf numFmtId="0" fontId="10" fillId="0" borderId="0" xfId="0" applyFont="1"/>
    <xf numFmtId="0" fontId="12" fillId="0" borderId="0" xfId="0" applyFont="1"/>
    <xf numFmtId="0" fontId="41" fillId="13" borderId="7" xfId="4" applyFont="1" applyFill="1" applyBorder="1" applyAlignment="1">
      <alignment vertical="center" readingOrder="2"/>
    </xf>
    <xf numFmtId="0" fontId="41" fillId="13" borderId="20" xfId="4" applyFont="1" applyFill="1" applyBorder="1" applyAlignment="1">
      <alignment horizontal="center" vertical="center" readingOrder="2"/>
    </xf>
    <xf numFmtId="0" fontId="41" fillId="13" borderId="20" xfId="4" applyFont="1" applyFill="1" applyBorder="1" applyAlignment="1">
      <alignment horizontal="center" vertical="center" wrapText="1" readingOrder="2"/>
    </xf>
    <xf numFmtId="0" fontId="41" fillId="13" borderId="37" xfId="4" applyFont="1" applyFill="1" applyBorder="1" applyAlignment="1">
      <alignment horizontal="center" vertical="center" wrapText="1" readingOrder="2"/>
    </xf>
    <xf numFmtId="0" fontId="41" fillId="13" borderId="39" xfId="4" applyFont="1" applyFill="1" applyBorder="1" applyAlignment="1">
      <alignment horizontal="center" vertical="center" wrapText="1" readingOrder="2"/>
    </xf>
    <xf numFmtId="0" fontId="42" fillId="0" borderId="18" xfId="4" applyFont="1" applyBorder="1" applyAlignment="1">
      <alignment horizontal="right" vertical="center" readingOrder="2"/>
    </xf>
    <xf numFmtId="0" fontId="42" fillId="0" borderId="18" xfId="4" applyFont="1" applyBorder="1" applyAlignment="1">
      <alignment horizontal="center" vertical="center" readingOrder="2"/>
    </xf>
    <xf numFmtId="1" fontId="42" fillId="8" borderId="18" xfId="4" applyNumberFormat="1" applyFont="1" applyFill="1" applyBorder="1" applyAlignment="1">
      <alignment horizontal="center" vertical="center" wrapText="1" readingOrder="2"/>
    </xf>
    <xf numFmtId="164" fontId="42" fillId="0" borderId="18" xfId="4" applyNumberFormat="1" applyFont="1" applyBorder="1" applyAlignment="1">
      <alignment horizontal="center" vertical="center" readingOrder="2"/>
    </xf>
    <xf numFmtId="164" fontId="42" fillId="8" borderId="20" xfId="4" applyNumberFormat="1" applyFont="1" applyFill="1" applyBorder="1" applyAlignment="1">
      <alignment horizontal="center" vertical="center" readingOrder="2"/>
    </xf>
    <xf numFmtId="0" fontId="42" fillId="8" borderId="13" xfId="4" applyFont="1" applyFill="1" applyBorder="1" applyAlignment="1">
      <alignment horizontal="right" vertical="center" wrapText="1" readingOrder="2"/>
    </xf>
    <xf numFmtId="0" fontId="42" fillId="8" borderId="35" xfId="4" applyFont="1" applyFill="1" applyBorder="1" applyAlignment="1">
      <alignment horizontal="right" vertical="center" wrapText="1" readingOrder="2"/>
    </xf>
    <xf numFmtId="0" fontId="42" fillId="0" borderId="1" xfId="4" applyFont="1" applyBorder="1" applyAlignment="1">
      <alignment horizontal="right" vertical="center" readingOrder="2"/>
    </xf>
    <xf numFmtId="0" fontId="42" fillId="0" borderId="1" xfId="4" applyFont="1" applyBorder="1" applyAlignment="1">
      <alignment horizontal="center" vertical="center" readingOrder="2"/>
    </xf>
    <xf numFmtId="1" fontId="42" fillId="8" borderId="1" xfId="4" applyNumberFormat="1" applyFont="1" applyFill="1" applyBorder="1" applyAlignment="1">
      <alignment horizontal="center" vertical="center" wrapText="1" readingOrder="2"/>
    </xf>
    <xf numFmtId="164" fontId="42" fillId="0" borderId="1" xfId="4" applyNumberFormat="1" applyFont="1" applyBorder="1" applyAlignment="1">
      <alignment horizontal="center" vertical="center" readingOrder="2"/>
    </xf>
    <xf numFmtId="164" fontId="42" fillId="8" borderId="1" xfId="4" applyNumberFormat="1" applyFont="1" applyFill="1" applyBorder="1" applyAlignment="1">
      <alignment horizontal="center" vertical="center" readingOrder="2"/>
    </xf>
    <xf numFmtId="0" fontId="42" fillId="8" borderId="15" xfId="4" applyFont="1" applyFill="1" applyBorder="1" applyAlignment="1">
      <alignment horizontal="right" vertical="center" wrapText="1" readingOrder="2"/>
    </xf>
    <xf numFmtId="0" fontId="42" fillId="8" borderId="40" xfId="4" applyFont="1" applyFill="1" applyBorder="1" applyAlignment="1">
      <alignment horizontal="right" vertical="center" wrapText="1" readingOrder="2"/>
    </xf>
    <xf numFmtId="1" fontId="42" fillId="0" borderId="1" xfId="4" applyNumberFormat="1" applyFont="1" applyBorder="1" applyAlignment="1">
      <alignment horizontal="center" vertical="center" wrapText="1" readingOrder="2"/>
    </xf>
    <xf numFmtId="164" fontId="42" fillId="8" borderId="4" xfId="4" applyNumberFormat="1" applyFont="1" applyFill="1" applyBorder="1" applyAlignment="1">
      <alignment horizontal="center" vertical="center" readingOrder="2"/>
    </xf>
    <xf numFmtId="0" fontId="42" fillId="5" borderId="15" xfId="4" applyFont="1" applyFill="1" applyBorder="1" applyAlignment="1">
      <alignment horizontal="right" vertical="center" wrapText="1" readingOrder="2"/>
    </xf>
    <xf numFmtId="0" fontId="42" fillId="5" borderId="40" xfId="4" applyFont="1" applyFill="1" applyBorder="1" applyAlignment="1">
      <alignment horizontal="right" vertical="center" wrapText="1" readingOrder="2"/>
    </xf>
    <xf numFmtId="164" fontId="42" fillId="0" borderId="1" xfId="4" applyNumberFormat="1" applyFont="1" applyBorder="1" applyAlignment="1">
      <alignment horizontal="center" vertical="center" wrapText="1" readingOrder="2"/>
    </xf>
    <xf numFmtId="0" fontId="42" fillId="0" borderId="15" xfId="4" applyFont="1" applyBorder="1" applyAlignment="1">
      <alignment horizontal="right" vertical="center" wrapText="1" readingOrder="2"/>
    </xf>
    <xf numFmtId="0" fontId="42" fillId="0" borderId="40" xfId="4" applyFont="1" applyBorder="1" applyAlignment="1">
      <alignment horizontal="right" vertical="center" wrapText="1" readingOrder="2"/>
    </xf>
    <xf numFmtId="0" fontId="42" fillId="14" borderId="19" xfId="4" applyFont="1" applyFill="1" applyBorder="1" applyAlignment="1">
      <alignment horizontal="right" vertical="center" readingOrder="2"/>
    </xf>
    <xf numFmtId="0" fontId="41" fillId="14" borderId="19" xfId="4" applyFont="1" applyFill="1" applyBorder="1" applyAlignment="1">
      <alignment horizontal="center" vertical="center" readingOrder="2"/>
    </xf>
    <xf numFmtId="1" fontId="41" fillId="14" borderId="19" xfId="4" applyNumberFormat="1" applyFont="1" applyFill="1" applyBorder="1" applyAlignment="1">
      <alignment horizontal="center" vertical="center" readingOrder="2"/>
    </xf>
    <xf numFmtId="0" fontId="42" fillId="14" borderId="17" xfId="4" applyFont="1" applyFill="1" applyBorder="1" applyAlignment="1">
      <alignment horizontal="right" vertical="center" wrapText="1" readingOrder="2"/>
    </xf>
    <xf numFmtId="0" fontId="42" fillId="14" borderId="41" xfId="4" applyFont="1" applyFill="1" applyBorder="1" applyAlignment="1">
      <alignment horizontal="right" vertical="center" wrapText="1" readingOrder="2"/>
    </xf>
    <xf numFmtId="1" fontId="42" fillId="0" borderId="18" xfId="4" applyNumberFormat="1" applyFont="1" applyBorder="1" applyAlignment="1">
      <alignment horizontal="center" vertical="center" wrapText="1" readingOrder="2"/>
    </xf>
    <xf numFmtId="0" fontId="42" fillId="0" borderId="13" xfId="4" applyFont="1" applyBorder="1" applyAlignment="1">
      <alignment horizontal="right" vertical="center" wrapText="1" readingOrder="2"/>
    </xf>
    <xf numFmtId="0" fontId="42" fillId="0" borderId="35" xfId="4" applyFont="1" applyBorder="1" applyAlignment="1">
      <alignment horizontal="right" vertical="center" wrapText="1" readingOrder="2"/>
    </xf>
    <xf numFmtId="0" fontId="42" fillId="15" borderId="19" xfId="4" applyFont="1" applyFill="1" applyBorder="1" applyAlignment="1">
      <alignment horizontal="right" vertical="center" readingOrder="2"/>
    </xf>
    <xf numFmtId="0" fontId="41" fillId="15" borderId="19" xfId="4" applyFont="1" applyFill="1" applyBorder="1" applyAlignment="1">
      <alignment horizontal="center" vertical="center" readingOrder="2"/>
    </xf>
    <xf numFmtId="1" fontId="41" fillId="15" borderId="19" xfId="4" applyNumberFormat="1" applyFont="1" applyFill="1" applyBorder="1" applyAlignment="1">
      <alignment horizontal="center" vertical="center" readingOrder="2"/>
    </xf>
    <xf numFmtId="0" fontId="42" fillId="15" borderId="17" xfId="4" applyFont="1" applyFill="1" applyBorder="1" applyAlignment="1">
      <alignment horizontal="right" vertical="center" wrapText="1" readingOrder="2"/>
    </xf>
    <xf numFmtId="0" fontId="42" fillId="15" borderId="41" xfId="4" applyFont="1" applyFill="1" applyBorder="1" applyAlignment="1">
      <alignment horizontal="right" vertical="center" wrapText="1" readingOrder="2"/>
    </xf>
    <xf numFmtId="164" fontId="42" fillId="8" borderId="18" xfId="4" applyNumberFormat="1" applyFont="1" applyFill="1" applyBorder="1" applyAlignment="1">
      <alignment horizontal="center" vertical="center" readingOrder="2"/>
    </xf>
    <xf numFmtId="0" fontId="43" fillId="0" borderId="13" xfId="3" applyFont="1" applyBorder="1" applyAlignment="1">
      <alignment horizontal="right" vertical="center"/>
    </xf>
    <xf numFmtId="0" fontId="43" fillId="0" borderId="15" xfId="3" applyFont="1" applyBorder="1" applyAlignment="1">
      <alignment horizontal="right" vertical="center"/>
    </xf>
    <xf numFmtId="0" fontId="30" fillId="8" borderId="15" xfId="4" applyFont="1" applyFill="1" applyBorder="1" applyAlignment="1">
      <alignment horizontal="right" vertical="center" wrapText="1" readingOrder="2"/>
    </xf>
    <xf numFmtId="0" fontId="7" fillId="0" borderId="22" xfId="0" applyFont="1" applyBorder="1" applyAlignment="1">
      <alignment horizontal="center" vertical="justify" wrapText="1"/>
    </xf>
    <xf numFmtId="0" fontId="43" fillId="0" borderId="15" xfId="3" applyFont="1" applyBorder="1" applyAlignment="1">
      <alignment vertical="center" wrapText="1"/>
    </xf>
    <xf numFmtId="0" fontId="43" fillId="0" borderId="40" xfId="3" applyFont="1" applyBorder="1" applyAlignment="1">
      <alignment vertical="center" wrapText="1"/>
    </xf>
    <xf numFmtId="0" fontId="44" fillId="0" borderId="15" xfId="0" applyFont="1" applyBorder="1" applyAlignment="1">
      <alignment horizontal="right" vertical="center" wrapText="1"/>
    </xf>
    <xf numFmtId="0" fontId="44" fillId="0" borderId="40" xfId="0" applyFont="1" applyBorder="1" applyAlignment="1">
      <alignment horizontal="right" vertical="center" wrapText="1"/>
    </xf>
    <xf numFmtId="0" fontId="42" fillId="16" borderId="19" xfId="4" applyFont="1" applyFill="1" applyBorder="1" applyAlignment="1">
      <alignment horizontal="right" vertical="center" readingOrder="2"/>
    </xf>
    <xf numFmtId="0" fontId="42" fillId="16" borderId="19" xfId="4" applyFont="1" applyFill="1" applyBorder="1" applyAlignment="1">
      <alignment horizontal="center" vertical="center" readingOrder="2"/>
    </xf>
    <xf numFmtId="1" fontId="41" fillId="16" borderId="19" xfId="4" applyNumberFormat="1" applyFont="1" applyFill="1" applyBorder="1" applyAlignment="1">
      <alignment horizontal="center" vertical="center" readingOrder="2"/>
    </xf>
    <xf numFmtId="164" fontId="41" fillId="16" borderId="19" xfId="4" applyNumberFormat="1" applyFont="1" applyFill="1" applyBorder="1" applyAlignment="1">
      <alignment horizontal="center" vertical="center" readingOrder="2"/>
    </xf>
    <xf numFmtId="0" fontId="42" fillId="16" borderId="17" xfId="4" applyFont="1" applyFill="1" applyBorder="1" applyAlignment="1">
      <alignment horizontal="right" vertical="center" wrapText="1" readingOrder="2"/>
    </xf>
    <xf numFmtId="0" fontId="42" fillId="16" borderId="41" xfId="4" applyFont="1" applyFill="1" applyBorder="1" applyAlignment="1">
      <alignment horizontal="right" vertical="center" wrapText="1" readingOrder="2"/>
    </xf>
    <xf numFmtId="0" fontId="30" fillId="0" borderId="18" xfId="4" applyFont="1" applyBorder="1" applyAlignment="1">
      <alignment horizontal="center" vertical="center" readingOrder="2"/>
    </xf>
    <xf numFmtId="164" fontId="30" fillId="0" borderId="18" xfId="4" applyNumberFormat="1" applyFont="1" applyBorder="1" applyAlignment="1">
      <alignment horizontal="center" vertical="center" readingOrder="2"/>
    </xf>
    <xf numFmtId="3" fontId="43" fillId="0" borderId="1" xfId="3" applyNumberFormat="1" applyFont="1" applyBorder="1" applyAlignment="1">
      <alignment horizontal="center" vertical="center"/>
    </xf>
    <xf numFmtId="164" fontId="30" fillId="0" borderId="1" xfId="4" applyNumberFormat="1" applyFont="1" applyBorder="1" applyAlignment="1">
      <alignment horizontal="center" vertical="center" readingOrder="2"/>
    </xf>
    <xf numFmtId="0" fontId="30" fillId="0" borderId="1" xfId="4" applyFont="1" applyBorder="1" applyAlignment="1">
      <alignment horizontal="center" vertical="center" readingOrder="2"/>
    </xf>
    <xf numFmtId="0" fontId="43" fillId="0" borderId="1" xfId="3" applyFont="1" applyBorder="1" applyAlignment="1">
      <alignment horizontal="center" vertical="center"/>
    </xf>
    <xf numFmtId="0" fontId="42" fillId="18" borderId="19" xfId="4" applyFont="1" applyFill="1" applyBorder="1" applyAlignment="1">
      <alignment horizontal="right" vertical="center" readingOrder="2"/>
    </xf>
    <xf numFmtId="0" fontId="42" fillId="18" borderId="19" xfId="4" applyFont="1" applyFill="1" applyBorder="1" applyAlignment="1">
      <alignment horizontal="center" vertical="center" readingOrder="2"/>
    </xf>
    <xf numFmtId="1" fontId="41" fillId="18" borderId="19" xfId="4" applyNumberFormat="1" applyFont="1" applyFill="1" applyBorder="1" applyAlignment="1">
      <alignment horizontal="center" vertical="center" readingOrder="2"/>
    </xf>
    <xf numFmtId="164" fontId="41" fillId="18" borderId="19" xfId="4" applyNumberFormat="1" applyFont="1" applyFill="1" applyBorder="1" applyAlignment="1">
      <alignment horizontal="center" vertical="center" readingOrder="2"/>
    </xf>
    <xf numFmtId="0" fontId="42" fillId="18" borderId="17" xfId="4" applyFont="1" applyFill="1" applyBorder="1" applyAlignment="1">
      <alignment horizontal="right" vertical="center" wrapText="1" readingOrder="2"/>
    </xf>
    <xf numFmtId="0" fontId="42" fillId="18" borderId="41" xfId="4" applyFont="1" applyFill="1" applyBorder="1" applyAlignment="1">
      <alignment horizontal="right" vertical="center" wrapText="1" readingOrder="2"/>
    </xf>
    <xf numFmtId="0" fontId="42" fillId="19" borderId="19" xfId="4" applyFont="1" applyFill="1" applyBorder="1" applyAlignment="1">
      <alignment horizontal="right" vertical="center" readingOrder="2"/>
    </xf>
    <xf numFmtId="0" fontId="42" fillId="19" borderId="19" xfId="4" applyFont="1" applyFill="1" applyBorder="1" applyAlignment="1">
      <alignment horizontal="center" vertical="center" readingOrder="2"/>
    </xf>
    <xf numFmtId="1" fontId="41" fillId="19" borderId="19" xfId="4" applyNumberFormat="1" applyFont="1" applyFill="1" applyBorder="1" applyAlignment="1">
      <alignment horizontal="center" vertical="center" readingOrder="2"/>
    </xf>
    <xf numFmtId="164" fontId="41" fillId="19" borderId="19" xfId="4" applyNumberFormat="1" applyFont="1" applyFill="1" applyBorder="1" applyAlignment="1">
      <alignment horizontal="center" vertical="center" readingOrder="2"/>
    </xf>
    <xf numFmtId="0" fontId="42" fillId="19" borderId="17" xfId="4" applyFont="1" applyFill="1" applyBorder="1" applyAlignment="1">
      <alignment horizontal="right" vertical="center" wrapText="1" readingOrder="2"/>
    </xf>
    <xf numFmtId="0" fontId="42" fillId="19" borderId="41" xfId="4" applyFont="1" applyFill="1" applyBorder="1" applyAlignment="1">
      <alignment horizontal="right" vertical="center" wrapText="1" readingOrder="2"/>
    </xf>
    <xf numFmtId="0" fontId="43" fillId="0" borderId="15" xfId="3" applyFont="1" applyBorder="1" applyAlignment="1">
      <alignment horizontal="right" vertical="center" wrapText="1" readingOrder="2"/>
    </xf>
    <xf numFmtId="0" fontId="43" fillId="0" borderId="40" xfId="3" applyFont="1" applyBorder="1" applyAlignment="1">
      <alignment horizontal="right" vertical="center" wrapText="1" readingOrder="2"/>
    </xf>
    <xf numFmtId="0" fontId="30" fillId="8" borderId="13" xfId="4" applyFont="1" applyFill="1" applyBorder="1" applyAlignment="1">
      <alignment horizontal="right" vertical="center" wrapText="1" readingOrder="2"/>
    </xf>
    <xf numFmtId="0" fontId="42" fillId="5" borderId="1" xfId="4" applyFont="1" applyFill="1" applyBorder="1" applyAlignment="1">
      <alignment horizontal="center" vertical="center" readingOrder="2"/>
    </xf>
    <xf numFmtId="0" fontId="30" fillId="8" borderId="40" xfId="4" applyFont="1" applyFill="1" applyBorder="1" applyAlignment="1">
      <alignment horizontal="right" vertical="center" wrapText="1" readingOrder="2"/>
    </xf>
    <xf numFmtId="164" fontId="42" fillId="5" borderId="1" xfId="4" applyNumberFormat="1" applyFont="1" applyFill="1" applyBorder="1" applyAlignment="1">
      <alignment horizontal="center" vertical="center" readingOrder="2"/>
    </xf>
    <xf numFmtId="0" fontId="42" fillId="20" borderId="19" xfId="4" applyFont="1" applyFill="1" applyBorder="1" applyAlignment="1">
      <alignment horizontal="right" vertical="center" readingOrder="2"/>
    </xf>
    <xf numFmtId="0" fontId="42" fillId="20" borderId="19" xfId="4" applyFont="1" applyFill="1" applyBorder="1" applyAlignment="1">
      <alignment horizontal="center" vertical="center" readingOrder="2"/>
    </xf>
    <xf numFmtId="1" fontId="41" fillId="20" borderId="19" xfId="4" applyNumberFormat="1" applyFont="1" applyFill="1" applyBorder="1" applyAlignment="1">
      <alignment horizontal="center" vertical="center" readingOrder="2"/>
    </xf>
    <xf numFmtId="164" fontId="41" fillId="20" borderId="19" xfId="4" applyNumberFormat="1" applyFont="1" applyFill="1" applyBorder="1" applyAlignment="1">
      <alignment horizontal="center" vertical="center" readingOrder="2"/>
    </xf>
    <xf numFmtId="0" fontId="42" fillId="20" borderId="17" xfId="4" applyFont="1" applyFill="1" applyBorder="1" applyAlignment="1">
      <alignment horizontal="right" vertical="center" wrapText="1" readingOrder="2"/>
    </xf>
    <xf numFmtId="0" fontId="42" fillId="20" borderId="41" xfId="4" applyFont="1" applyFill="1" applyBorder="1" applyAlignment="1">
      <alignment horizontal="right" vertical="center" wrapText="1" readingOrder="2"/>
    </xf>
    <xf numFmtId="3" fontId="43" fillId="0" borderId="18" xfId="3" applyNumberFormat="1" applyFont="1" applyBorder="1" applyAlignment="1">
      <alignment horizontal="center" vertical="center"/>
    </xf>
    <xf numFmtId="1" fontId="42" fillId="5" borderId="1" xfId="4" applyNumberFormat="1" applyFont="1" applyFill="1" applyBorder="1" applyAlignment="1">
      <alignment horizontal="center" vertical="center" wrapText="1" readingOrder="2"/>
    </xf>
    <xf numFmtId="0" fontId="30" fillId="8" borderId="35" xfId="4" applyFont="1" applyFill="1" applyBorder="1" applyAlignment="1">
      <alignment horizontal="right" vertical="center" wrapText="1" readingOrder="2"/>
    </xf>
    <xf numFmtId="0" fontId="42" fillId="5" borderId="1" xfId="4" applyFont="1" applyFill="1" applyBorder="1" applyAlignment="1">
      <alignment horizontal="right" vertical="center" readingOrder="2"/>
    </xf>
    <xf numFmtId="1" fontId="42" fillId="5" borderId="1" xfId="4" applyNumberFormat="1" applyFont="1" applyFill="1" applyBorder="1" applyAlignment="1">
      <alignment horizontal="center" vertical="center" readingOrder="2"/>
    </xf>
    <xf numFmtId="0" fontId="42" fillId="21" borderId="19" xfId="4" applyFont="1" applyFill="1" applyBorder="1" applyAlignment="1">
      <alignment horizontal="right" vertical="center" readingOrder="2"/>
    </xf>
    <xf numFmtId="0" fontId="42" fillId="21" borderId="19" xfId="4" applyFont="1" applyFill="1" applyBorder="1" applyAlignment="1">
      <alignment horizontal="center" vertical="center" readingOrder="2"/>
    </xf>
    <xf numFmtId="1" fontId="41" fillId="21" borderId="19" xfId="4" applyNumberFormat="1" applyFont="1" applyFill="1" applyBorder="1" applyAlignment="1">
      <alignment horizontal="center" vertical="center" readingOrder="2"/>
    </xf>
    <xf numFmtId="164" fontId="41" fillId="21" borderId="19" xfId="4" applyNumberFormat="1" applyFont="1" applyFill="1" applyBorder="1" applyAlignment="1">
      <alignment horizontal="center" vertical="center" readingOrder="2"/>
    </xf>
    <xf numFmtId="0" fontId="42" fillId="21" borderId="17" xfId="4" applyFont="1" applyFill="1" applyBorder="1" applyAlignment="1">
      <alignment horizontal="right" vertical="center" wrapText="1" readingOrder="2"/>
    </xf>
    <xf numFmtId="0" fontId="42" fillId="21" borderId="41" xfId="4" applyFont="1" applyFill="1" applyBorder="1" applyAlignment="1">
      <alignment horizontal="right" vertical="center" wrapText="1" readingOrder="2"/>
    </xf>
    <xf numFmtId="0" fontId="45" fillId="6" borderId="4" xfId="4" applyFont="1" applyFill="1" applyBorder="1" applyAlignment="1">
      <alignment horizontal="center" vertical="center" readingOrder="2"/>
    </xf>
    <xf numFmtId="1" fontId="45" fillId="6" borderId="4" xfId="4" applyNumberFormat="1" applyFont="1" applyFill="1" applyBorder="1" applyAlignment="1">
      <alignment horizontal="center" vertical="center" readingOrder="2"/>
    </xf>
    <xf numFmtId="164" fontId="45" fillId="6" borderId="4" xfId="4" applyNumberFormat="1" applyFont="1" applyFill="1" applyBorder="1" applyAlignment="1">
      <alignment horizontal="center" vertical="center" readingOrder="2"/>
    </xf>
    <xf numFmtId="0" fontId="46" fillId="6" borderId="45" xfId="4" applyFont="1" applyFill="1" applyBorder="1" applyAlignment="1">
      <alignment horizontal="right" vertical="center" wrapText="1" readingOrder="2"/>
    </xf>
    <xf numFmtId="0" fontId="46" fillId="6" borderId="42" xfId="4" applyFont="1" applyFill="1" applyBorder="1" applyAlignment="1">
      <alignment horizontal="right" vertical="center" wrapText="1" readingOrder="2"/>
    </xf>
    <xf numFmtId="3" fontId="47" fillId="9" borderId="19" xfId="4" applyNumberFormat="1" applyFont="1" applyFill="1" applyBorder="1" applyAlignment="1">
      <alignment horizontal="center" vertical="center" readingOrder="2"/>
    </xf>
    <xf numFmtId="1" fontId="41" fillId="9" borderId="17" xfId="4" applyNumberFormat="1" applyFont="1" applyFill="1" applyBorder="1" applyAlignment="1">
      <alignment horizontal="center" vertical="center" readingOrder="2"/>
    </xf>
    <xf numFmtId="1" fontId="41" fillId="9" borderId="41" xfId="4" applyNumberFormat="1" applyFont="1" applyFill="1" applyBorder="1" applyAlignment="1">
      <alignment horizontal="center" vertical="center" readingOrder="2"/>
    </xf>
    <xf numFmtId="0" fontId="11" fillId="0" borderId="0" xfId="0" applyFont="1" applyAlignment="1">
      <alignment horizontal="center"/>
    </xf>
    <xf numFmtId="0" fontId="39" fillId="5" borderId="0" xfId="0" applyFont="1" applyFill="1" applyAlignment="1">
      <alignment horizontal="right" vertical="center"/>
    </xf>
    <xf numFmtId="0" fontId="48" fillId="5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 wrapText="1"/>
    </xf>
    <xf numFmtId="0" fontId="51" fillId="19" borderId="2" xfId="0" applyFont="1" applyFill="1" applyBorder="1" applyAlignment="1">
      <alignment horizontal="center" vertical="center" wrapText="1"/>
    </xf>
    <xf numFmtId="0" fontId="11" fillId="19" borderId="2" xfId="0" applyFont="1" applyFill="1" applyBorder="1" applyAlignment="1">
      <alignment horizontal="center" vertical="center" wrapText="1"/>
    </xf>
    <xf numFmtId="2" fontId="11" fillId="19" borderId="2" xfId="0" applyNumberFormat="1" applyFont="1" applyFill="1" applyBorder="1" applyAlignment="1">
      <alignment horizontal="center" vertical="center" wrapText="1"/>
    </xf>
    <xf numFmtId="4" fontId="11" fillId="19" borderId="2" xfId="0" applyNumberFormat="1" applyFont="1" applyFill="1" applyBorder="1" applyAlignment="1">
      <alignment horizontal="center" vertical="center" wrapText="1"/>
    </xf>
    <xf numFmtId="0" fontId="11" fillId="19" borderId="2" xfId="0" applyFont="1" applyFill="1" applyBorder="1" applyAlignment="1">
      <alignment horizontal="center" vertical="center" wrapText="1" readingOrder="2"/>
    </xf>
    <xf numFmtId="0" fontId="11" fillId="5" borderId="1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 readingOrder="2"/>
    </xf>
    <xf numFmtId="0" fontId="13" fillId="5" borderId="18" xfId="0" applyFont="1" applyFill="1" applyBorder="1" applyAlignment="1">
      <alignment horizontal="center" vertical="center" wrapText="1"/>
    </xf>
    <xf numFmtId="164" fontId="13" fillId="0" borderId="18" xfId="0" applyNumberFormat="1" applyFont="1" applyBorder="1" applyAlignment="1">
      <alignment horizontal="center" vertical="center" wrapText="1" readingOrder="2"/>
    </xf>
    <xf numFmtId="164" fontId="13" fillId="5" borderId="18" xfId="0" applyNumberFormat="1" applyFont="1" applyFill="1" applyBorder="1" applyAlignment="1">
      <alignment horizontal="center" vertical="center" wrapText="1"/>
    </xf>
    <xf numFmtId="0" fontId="11" fillId="19" borderId="18" xfId="0" applyFont="1" applyFill="1" applyBorder="1" applyAlignment="1">
      <alignment horizontal="center" vertical="center" wrapText="1"/>
    </xf>
    <xf numFmtId="164" fontId="13" fillId="0" borderId="13" xfId="0" applyNumberFormat="1" applyFont="1" applyBorder="1" applyAlignment="1">
      <alignment horizontal="center" vertical="center" wrapText="1" readingOrder="2"/>
    </xf>
    <xf numFmtId="0" fontId="13" fillId="0" borderId="1" xfId="0" applyFont="1" applyBorder="1" applyAlignment="1">
      <alignment horizontal="center" vertical="center" wrapText="1" readingOrder="2"/>
    </xf>
    <xf numFmtId="0" fontId="13" fillId="5" borderId="1" xfId="0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 readingOrder="2"/>
    </xf>
    <xf numFmtId="164" fontId="13" fillId="5" borderId="1" xfId="0" applyNumberFormat="1" applyFont="1" applyFill="1" applyBorder="1" applyAlignment="1">
      <alignment horizontal="center" vertical="center" wrapText="1"/>
    </xf>
    <xf numFmtId="0" fontId="11" fillId="19" borderId="1" xfId="0" applyFont="1" applyFill="1" applyBorder="1" applyAlignment="1">
      <alignment horizontal="center" vertical="center" wrapText="1"/>
    </xf>
    <xf numFmtId="164" fontId="13" fillId="0" borderId="15" xfId="0" applyNumberFormat="1" applyFont="1" applyBorder="1" applyAlignment="1">
      <alignment horizontal="center" vertical="center" wrapText="1" readingOrder="2"/>
    </xf>
    <xf numFmtId="0" fontId="13" fillId="0" borderId="1" xfId="5" applyFont="1" applyBorder="1" applyAlignment="1">
      <alignment horizontal="center" vertical="center" wrapText="1"/>
    </xf>
    <xf numFmtId="3" fontId="13" fillId="0" borderId="1" xfId="5" applyNumberFormat="1" applyFont="1" applyBorder="1" applyAlignment="1">
      <alignment horizontal="center" vertical="center"/>
    </xf>
    <xf numFmtId="164" fontId="13" fillId="0" borderId="1" xfId="5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 readingOrder="2"/>
    </xf>
    <xf numFmtId="0" fontId="13" fillId="5" borderId="19" xfId="0" applyFont="1" applyFill="1" applyBorder="1" applyAlignment="1">
      <alignment horizontal="center" vertical="center" wrapText="1"/>
    </xf>
    <xf numFmtId="164" fontId="13" fillId="0" borderId="19" xfId="0" applyNumberFormat="1" applyFont="1" applyBorder="1" applyAlignment="1">
      <alignment horizontal="center" vertical="center" wrapText="1" readingOrder="2"/>
    </xf>
    <xf numFmtId="164" fontId="13" fillId="5" borderId="19" xfId="0" applyNumberFormat="1" applyFont="1" applyFill="1" applyBorder="1" applyAlignment="1">
      <alignment horizontal="center" vertical="center" wrapText="1"/>
    </xf>
    <xf numFmtId="0" fontId="11" fillId="19" borderId="19" xfId="0" applyFont="1" applyFill="1" applyBorder="1" applyAlignment="1">
      <alignment horizontal="center" vertical="center" wrapText="1"/>
    </xf>
    <xf numFmtId="164" fontId="13" fillId="0" borderId="17" xfId="0" applyNumberFormat="1" applyFont="1" applyBorder="1" applyAlignment="1">
      <alignment horizontal="center" vertical="center" wrapText="1" readingOrder="2"/>
    </xf>
    <xf numFmtId="0" fontId="13" fillId="0" borderId="19" xfId="0" applyFont="1" applyBorder="1" applyAlignment="1">
      <alignment horizontal="center" vertical="center" wrapText="1"/>
    </xf>
    <xf numFmtId="164" fontId="13" fillId="0" borderId="19" xfId="0" applyNumberFormat="1" applyFont="1" applyBorder="1" applyAlignment="1">
      <alignment horizontal="center" vertical="center" wrapText="1"/>
    </xf>
    <xf numFmtId="0" fontId="13" fillId="0" borderId="18" xfId="5" applyFont="1" applyBorder="1" applyAlignment="1">
      <alignment horizontal="center" vertical="center" wrapText="1"/>
    </xf>
    <xf numFmtId="3" fontId="13" fillId="0" borderId="18" xfId="5" applyNumberFormat="1" applyFont="1" applyBorder="1" applyAlignment="1">
      <alignment horizontal="center" vertical="center"/>
    </xf>
    <xf numFmtId="164" fontId="13" fillId="0" borderId="18" xfId="5" applyNumberFormat="1" applyFont="1" applyBorder="1" applyAlignment="1">
      <alignment horizontal="center" vertical="center"/>
    </xf>
    <xf numFmtId="0" fontId="13" fillId="0" borderId="19" xfId="5" applyFont="1" applyBorder="1" applyAlignment="1">
      <alignment horizontal="center" vertical="center" wrapText="1"/>
    </xf>
    <xf numFmtId="3" fontId="13" fillId="0" borderId="19" xfId="5" applyNumberFormat="1" applyFont="1" applyBorder="1" applyAlignment="1">
      <alignment horizontal="center" vertical="center"/>
    </xf>
    <xf numFmtId="164" fontId="13" fillId="0" borderId="19" xfId="5" applyNumberFormat="1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wrapText="1"/>
    </xf>
    <xf numFmtId="164" fontId="13" fillId="0" borderId="18" xfId="0" applyNumberFormat="1" applyFont="1" applyBorder="1" applyAlignment="1">
      <alignment horizontal="center" vertical="center" wrapText="1"/>
    </xf>
    <xf numFmtId="164" fontId="13" fillId="0" borderId="2" xfId="5" applyNumberFormat="1" applyFont="1" applyBorder="1" applyAlignment="1">
      <alignment horizontal="center" vertical="center"/>
    </xf>
    <xf numFmtId="164" fontId="13" fillId="5" borderId="2" xfId="0" applyNumberFormat="1" applyFont="1" applyFill="1" applyBorder="1" applyAlignment="1">
      <alignment horizontal="center" vertical="center" wrapText="1"/>
    </xf>
    <xf numFmtId="164" fontId="13" fillId="0" borderId="2" xfId="0" applyNumberFormat="1" applyFont="1" applyBorder="1" applyAlignment="1">
      <alignment horizontal="center" vertical="center" wrapText="1" readingOrder="2"/>
    </xf>
    <xf numFmtId="164" fontId="11" fillId="19" borderId="31" xfId="0" applyNumberFormat="1" applyFont="1" applyFill="1" applyBorder="1" applyAlignment="1">
      <alignment horizontal="center" vertical="center" wrapText="1"/>
    </xf>
    <xf numFmtId="164" fontId="11" fillId="19" borderId="32" xfId="0" applyNumberFormat="1" applyFont="1" applyFill="1" applyBorder="1" applyAlignment="1">
      <alignment horizontal="center" vertical="center" wrapText="1"/>
    </xf>
    <xf numFmtId="164" fontId="11" fillId="19" borderId="33" xfId="0" applyNumberFormat="1" applyFont="1" applyFill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 readingOrder="2"/>
    </xf>
    <xf numFmtId="164" fontId="11" fillId="19" borderId="48" xfId="0" applyNumberFormat="1" applyFont="1" applyFill="1" applyBorder="1" applyAlignment="1">
      <alignment horizontal="center" vertical="center" wrapText="1"/>
    </xf>
    <xf numFmtId="164" fontId="13" fillId="0" borderId="5" xfId="5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 wrapText="1"/>
    </xf>
    <xf numFmtId="1" fontId="11" fillId="0" borderId="0" xfId="0" applyNumberFormat="1" applyFont="1" applyAlignment="1">
      <alignment horizontal="center" vertical="center" wrapText="1"/>
    </xf>
    <xf numFmtId="1" fontId="11" fillId="19" borderId="3" xfId="0" applyNumberFormat="1" applyFont="1" applyFill="1" applyBorder="1" applyAlignment="1">
      <alignment horizontal="center" vertical="center" wrapText="1"/>
    </xf>
    <xf numFmtId="3" fontId="13" fillId="0" borderId="0" xfId="0" applyNumberFormat="1" applyFont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164" fontId="10" fillId="0" borderId="0" xfId="0" applyNumberFormat="1" applyFont="1"/>
    <xf numFmtId="0" fontId="53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54" fillId="0" borderId="0" xfId="0" applyFont="1" applyAlignment="1">
      <alignment horizontal="center" vertical="center" readingOrder="2"/>
    </xf>
    <xf numFmtId="0" fontId="5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8" fillId="0" borderId="0" xfId="0" applyFont="1"/>
    <xf numFmtId="0" fontId="59" fillId="0" borderId="0" xfId="0" applyFont="1"/>
    <xf numFmtId="0" fontId="58" fillId="0" borderId="0" xfId="0" applyFont="1" applyAlignment="1">
      <alignment horizontal="center"/>
    </xf>
    <xf numFmtId="14" fontId="58" fillId="0" borderId="0" xfId="0" applyNumberFormat="1" applyFont="1" applyAlignment="1">
      <alignment horizontal="left"/>
    </xf>
    <xf numFmtId="0" fontId="60" fillId="0" borderId="0" xfId="0" applyFont="1" applyAlignment="1">
      <alignment horizontal="center"/>
    </xf>
    <xf numFmtId="0" fontId="61" fillId="0" borderId="0" xfId="0" applyFont="1"/>
    <xf numFmtId="0" fontId="61" fillId="0" borderId="0" xfId="0" applyFont="1" applyAlignment="1">
      <alignment horizontal="center" vertical="center"/>
    </xf>
    <xf numFmtId="164" fontId="61" fillId="0" borderId="0" xfId="0" applyNumberFormat="1" applyFont="1" applyAlignment="1">
      <alignment horizontal="center" vertical="center"/>
    </xf>
    <xf numFmtId="166" fontId="61" fillId="0" borderId="0" xfId="0" applyNumberFormat="1" applyFont="1" applyAlignment="1">
      <alignment horizontal="center" vertical="center"/>
    </xf>
    <xf numFmtId="0" fontId="13" fillId="0" borderId="0" xfId="0" applyFont="1"/>
    <xf numFmtId="0" fontId="62" fillId="23" borderId="7" xfId="0" applyFont="1" applyFill="1" applyBorder="1" applyAlignment="1">
      <alignment horizontal="center" vertical="center"/>
    </xf>
    <xf numFmtId="0" fontId="62" fillId="23" borderId="20" xfId="0" applyFont="1" applyFill="1" applyBorder="1" applyAlignment="1">
      <alignment horizontal="center" vertical="center" wrapText="1"/>
    </xf>
    <xf numFmtId="0" fontId="62" fillId="23" borderId="18" xfId="0" applyFont="1" applyFill="1" applyBorder="1" applyAlignment="1">
      <alignment horizontal="center" vertical="center"/>
    </xf>
    <xf numFmtId="0" fontId="62" fillId="23" borderId="24" xfId="0" applyFont="1" applyFill="1" applyBorder="1" applyAlignment="1">
      <alignment horizontal="center" vertical="center"/>
    </xf>
    <xf numFmtId="0" fontId="62" fillId="23" borderId="37" xfId="0" applyFont="1" applyFill="1" applyBorder="1" applyAlignment="1">
      <alignment horizontal="center" vertical="center" wrapText="1"/>
    </xf>
    <xf numFmtId="0" fontId="62" fillId="23" borderId="52" xfId="0" applyFont="1" applyFill="1" applyBorder="1" applyAlignment="1">
      <alignment horizontal="center" vertical="center"/>
    </xf>
    <xf numFmtId="0" fontId="62" fillId="23" borderId="53" xfId="0" applyFont="1" applyFill="1" applyBorder="1" applyAlignment="1">
      <alignment horizontal="center" vertical="center" wrapText="1"/>
    </xf>
    <xf numFmtId="0" fontId="62" fillId="23" borderId="53" xfId="0" applyFont="1" applyFill="1" applyBorder="1" applyAlignment="1">
      <alignment horizontal="center" vertical="center"/>
    </xf>
    <xf numFmtId="0" fontId="62" fillId="23" borderId="54" xfId="0" applyFont="1" applyFill="1" applyBorder="1" applyAlignment="1">
      <alignment vertical="center" wrapText="1"/>
    </xf>
    <xf numFmtId="0" fontId="63" fillId="0" borderId="56" xfId="0" applyFont="1" applyBorder="1" applyAlignment="1">
      <alignment horizontal="right" vertical="center" wrapText="1"/>
    </xf>
    <xf numFmtId="0" fontId="61" fillId="0" borderId="56" xfId="0" applyFont="1" applyBorder="1" applyAlignment="1">
      <alignment horizontal="center" vertical="center"/>
    </xf>
    <xf numFmtId="166" fontId="64" fillId="0" borderId="56" xfId="0" applyNumberFormat="1" applyFont="1" applyBorder="1" applyAlignment="1">
      <alignment horizontal="center" vertical="center"/>
    </xf>
    <xf numFmtId="166" fontId="61" fillId="0" borderId="56" xfId="0" applyNumberFormat="1" applyFont="1" applyBorder="1" applyAlignment="1">
      <alignment horizontal="center" vertical="center"/>
    </xf>
    <xf numFmtId="0" fontId="63" fillId="0" borderId="57" xfId="0" applyFont="1" applyBorder="1" applyAlignment="1">
      <alignment horizontal="right" vertical="center" wrapText="1"/>
    </xf>
    <xf numFmtId="0" fontId="63" fillId="0" borderId="19" xfId="0" applyFont="1" applyBorder="1" applyAlignment="1">
      <alignment horizontal="right" vertical="center" wrapText="1"/>
    </xf>
    <xf numFmtId="0" fontId="61" fillId="0" borderId="19" xfId="0" applyFont="1" applyBorder="1" applyAlignment="1">
      <alignment horizontal="center" vertical="center"/>
    </xf>
    <xf numFmtId="166" fontId="64" fillId="0" borderId="29" xfId="0" applyNumberFormat="1" applyFont="1" applyBorder="1" applyAlignment="1">
      <alignment horizontal="center" vertical="center"/>
    </xf>
    <xf numFmtId="166" fontId="61" fillId="0" borderId="19" xfId="0" applyNumberFormat="1" applyFont="1" applyBorder="1" applyAlignment="1">
      <alignment horizontal="center" vertical="center"/>
    </xf>
    <xf numFmtId="0" fontId="63" fillId="0" borderId="17" xfId="0" applyFont="1" applyBorder="1" applyAlignment="1">
      <alignment horizontal="right" vertical="center" wrapText="1"/>
    </xf>
    <xf numFmtId="0" fontId="62" fillId="0" borderId="7" xfId="0" applyFont="1" applyBorder="1" applyAlignment="1">
      <alignment horizontal="center" vertical="top"/>
    </xf>
    <xf numFmtId="0" fontId="63" fillId="0" borderId="18" xfId="0" applyFont="1" applyBorder="1" applyAlignment="1">
      <alignment horizontal="right" vertical="center" wrapText="1"/>
    </xf>
    <xf numFmtId="0" fontId="61" fillId="0" borderId="18" xfId="0" applyFont="1" applyBorder="1" applyAlignment="1">
      <alignment horizontal="center" vertical="center"/>
    </xf>
    <xf numFmtId="166" fontId="64" fillId="0" borderId="18" xfId="0" applyNumberFormat="1" applyFont="1" applyBorder="1" applyAlignment="1">
      <alignment horizontal="center" vertical="center"/>
    </xf>
    <xf numFmtId="166" fontId="61" fillId="0" borderId="18" xfId="0" applyNumberFormat="1" applyFont="1" applyBorder="1" applyAlignment="1">
      <alignment horizontal="center" vertical="center"/>
    </xf>
    <xf numFmtId="0" fontId="63" fillId="0" borderId="13" xfId="0" applyFont="1" applyBorder="1" applyAlignment="1">
      <alignment horizontal="right" vertical="center" wrapText="1"/>
    </xf>
    <xf numFmtId="0" fontId="63" fillId="0" borderId="13" xfId="0" applyFont="1" applyBorder="1" applyAlignment="1">
      <alignment vertical="center" wrapText="1"/>
    </xf>
    <xf numFmtId="0" fontId="63" fillId="0" borderId="1" xfId="0" applyFont="1" applyBorder="1" applyAlignment="1">
      <alignment horizontal="right" vertical="center" wrapText="1"/>
    </xf>
    <xf numFmtId="0" fontId="61" fillId="0" borderId="2" xfId="0" applyFont="1" applyBorder="1" applyAlignment="1">
      <alignment horizontal="center"/>
    </xf>
    <xf numFmtId="0" fontId="61" fillId="0" borderId="1" xfId="0" applyFont="1" applyBorder="1" applyAlignment="1">
      <alignment horizontal="center"/>
    </xf>
    <xf numFmtId="166" fontId="64" fillId="0" borderId="4" xfId="0" applyNumberFormat="1" applyFont="1" applyBorder="1" applyAlignment="1">
      <alignment horizontal="center" vertical="center"/>
    </xf>
    <xf numFmtId="0" fontId="61" fillId="0" borderId="2" xfId="0" applyFont="1" applyBorder="1" applyAlignment="1">
      <alignment horizontal="center" vertical="center"/>
    </xf>
    <xf numFmtId="166" fontId="61" fillId="0" borderId="1" xfId="0" applyNumberFormat="1" applyFont="1" applyBorder="1" applyAlignment="1">
      <alignment horizontal="center" vertical="center"/>
    </xf>
    <xf numFmtId="0" fontId="63" fillId="0" borderId="15" xfId="0" applyFont="1" applyBorder="1" applyAlignment="1">
      <alignment vertical="center" wrapText="1"/>
    </xf>
    <xf numFmtId="0" fontId="61" fillId="0" borderId="19" xfId="0" applyFont="1" applyBorder="1" applyAlignment="1">
      <alignment horizontal="center"/>
    </xf>
    <xf numFmtId="164" fontId="64" fillId="0" borderId="19" xfId="0" applyNumberFormat="1" applyFont="1" applyBorder="1" applyAlignment="1">
      <alignment horizontal="center" vertical="center"/>
    </xf>
    <xf numFmtId="0" fontId="63" fillId="0" borderId="17" xfId="0" applyFont="1" applyBorder="1" applyAlignment="1">
      <alignment vertical="center" wrapText="1"/>
    </xf>
    <xf numFmtId="0" fontId="62" fillId="0" borderId="8" xfId="0" applyFont="1" applyBorder="1" applyAlignment="1">
      <alignment horizontal="center" vertical="top"/>
    </xf>
    <xf numFmtId="0" fontId="63" fillId="0" borderId="4" xfId="0" applyFont="1" applyBorder="1" applyAlignment="1">
      <alignment horizontal="right" vertical="center" wrapText="1"/>
    </xf>
    <xf numFmtId="0" fontId="61" fillId="0" borderId="3" xfId="0" applyFont="1" applyBorder="1" applyAlignment="1">
      <alignment horizontal="center"/>
    </xf>
    <xf numFmtId="0" fontId="61" fillId="0" borderId="4" xfId="0" applyFont="1" applyBorder="1" applyAlignment="1">
      <alignment horizontal="center"/>
    </xf>
    <xf numFmtId="0" fontId="61" fillId="0" borderId="3" xfId="0" applyFont="1" applyBorder="1" applyAlignment="1">
      <alignment horizontal="center" vertical="center"/>
    </xf>
    <xf numFmtId="166" fontId="61" fillId="0" borderId="4" xfId="0" applyNumberFormat="1" applyFont="1" applyBorder="1" applyAlignment="1">
      <alignment horizontal="center" vertical="center"/>
    </xf>
    <xf numFmtId="0" fontId="63" fillId="0" borderId="45" xfId="0" applyFont="1" applyBorder="1" applyAlignment="1">
      <alignment vertical="center" wrapText="1"/>
    </xf>
    <xf numFmtId="0" fontId="62" fillId="0" borderId="34" xfId="0" applyFont="1" applyBorder="1" applyAlignment="1">
      <alignment horizontal="center" vertical="top"/>
    </xf>
    <xf numFmtId="0" fontId="62" fillId="0" borderId="31" xfId="0" applyFont="1" applyBorder="1" applyAlignment="1">
      <alignment horizontal="center" vertical="top"/>
    </xf>
    <xf numFmtId="0" fontId="63" fillId="0" borderId="32" xfId="0" applyFont="1" applyBorder="1" applyAlignment="1">
      <alignment horizontal="right" vertical="center" wrapText="1"/>
    </xf>
    <xf numFmtId="0" fontId="61" fillId="0" borderId="32" xfId="0" applyFont="1" applyBorder="1" applyAlignment="1">
      <alignment horizontal="center"/>
    </xf>
    <xf numFmtId="166" fontId="64" fillId="0" borderId="32" xfId="0" applyNumberFormat="1" applyFont="1" applyBorder="1" applyAlignment="1">
      <alignment horizontal="center" vertical="center"/>
    </xf>
    <xf numFmtId="0" fontId="61" fillId="0" borderId="32" xfId="0" applyFont="1" applyBorder="1" applyAlignment="1">
      <alignment horizontal="center" vertical="center"/>
    </xf>
    <xf numFmtId="166" fontId="61" fillId="0" borderId="32" xfId="0" applyNumberFormat="1" applyFont="1" applyBorder="1" applyAlignment="1">
      <alignment horizontal="center" vertical="center"/>
    </xf>
    <xf numFmtId="0" fontId="63" fillId="0" borderId="58" xfId="0" applyFont="1" applyBorder="1" applyAlignment="1">
      <alignment vertical="center" wrapText="1"/>
    </xf>
    <xf numFmtId="0" fontId="63" fillId="0" borderId="4" xfId="0" applyFont="1" applyBorder="1" applyAlignment="1">
      <alignment horizontal="right" vertical="center"/>
    </xf>
    <xf numFmtId="1" fontId="61" fillId="0" borderId="4" xfId="0" applyNumberFormat="1" applyFont="1" applyBorder="1" applyAlignment="1">
      <alignment horizontal="center" vertical="center"/>
    </xf>
    <xf numFmtId="0" fontId="63" fillId="0" borderId="13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right" vertical="center"/>
    </xf>
    <xf numFmtId="1" fontId="61" fillId="0" borderId="1" xfId="0" applyNumberFormat="1" applyFont="1" applyBorder="1" applyAlignment="1">
      <alignment horizontal="center" vertical="center"/>
    </xf>
    <xf numFmtId="0" fontId="63" fillId="0" borderId="45" xfId="0" applyFont="1" applyBorder="1" applyAlignment="1">
      <alignment horizontal="center" vertical="center" wrapText="1"/>
    </xf>
    <xf numFmtId="1" fontId="62" fillId="0" borderId="21" xfId="0" applyNumberFormat="1" applyFont="1" applyBorder="1" applyAlignment="1">
      <alignment horizontal="center" vertical="top"/>
    </xf>
    <xf numFmtId="0" fontId="63" fillId="0" borderId="59" xfId="0" applyFont="1" applyBorder="1" applyAlignment="1">
      <alignment horizontal="right" vertical="center"/>
    </xf>
    <xf numFmtId="166" fontId="61" fillId="0" borderId="3" xfId="0" applyNumberFormat="1" applyFont="1" applyBorder="1" applyAlignment="1">
      <alignment horizontal="center" vertical="center"/>
    </xf>
    <xf numFmtId="1" fontId="61" fillId="0" borderId="3" xfId="0" applyNumberFormat="1" applyFont="1" applyBorder="1" applyAlignment="1">
      <alignment horizontal="center" vertical="center"/>
    </xf>
    <xf numFmtId="0" fontId="60" fillId="0" borderId="62" xfId="0" applyFont="1" applyBorder="1" applyAlignment="1">
      <alignment horizontal="center" vertical="center"/>
    </xf>
    <xf numFmtId="164" fontId="60" fillId="0" borderId="62" xfId="0" applyNumberFormat="1" applyFont="1" applyBorder="1" applyAlignment="1">
      <alignment horizontal="center" vertical="center"/>
    </xf>
    <xf numFmtId="0" fontId="60" fillId="0" borderId="63" xfId="0" applyFont="1" applyBorder="1" applyAlignment="1">
      <alignment horizontal="right" vertical="center" wrapText="1"/>
    </xf>
    <xf numFmtId="0" fontId="13" fillId="8" borderId="0" xfId="0" applyFont="1" applyFill="1" applyAlignment="1">
      <alignment vertical="center"/>
    </xf>
    <xf numFmtId="0" fontId="58" fillId="0" borderId="1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58" fillId="0" borderId="0" xfId="0" applyFont="1" applyAlignment="1">
      <alignment horizontal="left"/>
    </xf>
    <xf numFmtId="0" fontId="0" fillId="0" borderId="0" xfId="0" applyAlignment="1">
      <alignment horizontal="right"/>
    </xf>
    <xf numFmtId="0" fontId="65" fillId="0" borderId="0" xfId="0" applyFont="1" applyAlignment="1">
      <alignment horizontal="right"/>
    </xf>
    <xf numFmtId="0" fontId="66" fillId="24" borderId="1" xfId="0" applyFont="1" applyFill="1" applyBorder="1" applyAlignment="1">
      <alignment horizontal="center"/>
    </xf>
    <xf numFmtId="0" fontId="67" fillId="24" borderId="1" xfId="0" applyFont="1" applyFill="1" applyBorder="1" applyAlignment="1">
      <alignment horizontal="center"/>
    </xf>
    <xf numFmtId="0" fontId="68" fillId="24" borderId="1" xfId="0" applyFont="1" applyFill="1" applyBorder="1" applyAlignment="1">
      <alignment horizontal="center"/>
    </xf>
    <xf numFmtId="0" fontId="58" fillId="0" borderId="0" xfId="0" applyFont="1" applyAlignment="1">
      <alignment horizontal="right"/>
    </xf>
    <xf numFmtId="0" fontId="69" fillId="24" borderId="1" xfId="0" applyFont="1" applyFill="1" applyBorder="1" applyAlignment="1">
      <alignment horizontal="right"/>
    </xf>
    <xf numFmtId="0" fontId="70" fillId="24" borderId="1" xfId="0" applyFont="1" applyFill="1" applyBorder="1" applyAlignment="1">
      <alignment horizontal="center" vertical="center" wrapText="1"/>
    </xf>
    <xf numFmtId="0" fontId="70" fillId="24" borderId="1" xfId="0" applyFont="1" applyFill="1" applyBorder="1" applyAlignment="1">
      <alignment horizontal="right" vertical="center" wrapText="1"/>
    </xf>
    <xf numFmtId="0" fontId="71" fillId="24" borderId="38" xfId="0" applyFont="1" applyFill="1" applyBorder="1" applyAlignment="1">
      <alignment horizontal="center" wrapText="1"/>
    </xf>
    <xf numFmtId="0" fontId="72" fillId="0" borderId="1" xfId="0" applyFont="1" applyBorder="1" applyAlignment="1">
      <alignment horizontal="right"/>
    </xf>
    <xf numFmtId="0" fontId="73" fillId="0" borderId="1" xfId="0" applyFont="1" applyBorder="1" applyAlignment="1">
      <alignment horizontal="center"/>
    </xf>
    <xf numFmtId="164" fontId="74" fillId="0" borderId="1" xfId="0" applyNumberFormat="1" applyFont="1" applyBorder="1" applyAlignment="1">
      <alignment horizontal="center"/>
    </xf>
    <xf numFmtId="0" fontId="74" fillId="0" borderId="1" xfId="0" applyFont="1" applyBorder="1" applyAlignment="1">
      <alignment horizontal="right"/>
    </xf>
    <xf numFmtId="0" fontId="75" fillId="24" borderId="38" xfId="0" applyFont="1" applyFill="1" applyBorder="1" applyAlignment="1">
      <alignment horizontal="center" wrapText="1"/>
    </xf>
    <xf numFmtId="0" fontId="74" fillId="0" borderId="1" xfId="0" applyFont="1" applyBorder="1" applyAlignment="1">
      <alignment horizontal="right" wrapText="1"/>
    </xf>
    <xf numFmtId="0" fontId="0" fillId="0" borderId="0" xfId="0" applyAlignment="1">
      <alignment wrapText="1"/>
    </xf>
    <xf numFmtId="0" fontId="58" fillId="0" borderId="10" xfId="0" applyFont="1" applyBorder="1"/>
    <xf numFmtId="0" fontId="58" fillId="0" borderId="46" xfId="0" applyFont="1" applyBorder="1"/>
    <xf numFmtId="0" fontId="71" fillId="0" borderId="0" xfId="0" applyFont="1" applyAlignment="1">
      <alignment horizontal="center" wrapText="1"/>
    </xf>
    <xf numFmtId="0" fontId="76" fillId="16" borderId="1" xfId="0" applyFont="1" applyFill="1" applyBorder="1" applyAlignment="1">
      <alignment horizontal="right"/>
    </xf>
    <xf numFmtId="0" fontId="76" fillId="16" borderId="1" xfId="0" applyFont="1" applyFill="1" applyBorder="1" applyAlignment="1">
      <alignment horizontal="center"/>
    </xf>
    <xf numFmtId="0" fontId="77" fillId="16" borderId="1" xfId="0" applyFont="1" applyFill="1" applyBorder="1" applyAlignment="1">
      <alignment horizontal="right"/>
    </xf>
    <xf numFmtId="0" fontId="71" fillId="24" borderId="10" xfId="0" applyFont="1" applyFill="1" applyBorder="1" applyAlignment="1">
      <alignment horizontal="center" wrapText="1"/>
    </xf>
    <xf numFmtId="0" fontId="72" fillId="0" borderId="1" xfId="0" applyFont="1" applyBorder="1" applyAlignment="1">
      <alignment horizontal="right" vertical="center" wrapText="1"/>
    </xf>
    <xf numFmtId="164" fontId="76" fillId="16" borderId="1" xfId="0" applyNumberFormat="1" applyFont="1" applyFill="1" applyBorder="1" applyAlignment="1">
      <alignment horizontal="center"/>
    </xf>
    <xf numFmtId="0" fontId="72" fillId="5" borderId="1" xfId="0" applyFont="1" applyFill="1" applyBorder="1" applyAlignment="1">
      <alignment horizontal="right" vertical="center" wrapText="1"/>
    </xf>
    <xf numFmtId="0" fontId="72" fillId="0" borderId="4" xfId="0" applyFont="1" applyBorder="1" applyAlignment="1">
      <alignment horizontal="right" vertical="center" wrapText="1"/>
    </xf>
    <xf numFmtId="0" fontId="73" fillId="0" borderId="4" xfId="0" applyFont="1" applyBorder="1" applyAlignment="1">
      <alignment horizontal="center" vertical="center"/>
    </xf>
    <xf numFmtId="0" fontId="73" fillId="0" borderId="1" xfId="0" applyFont="1" applyBorder="1" applyAlignment="1">
      <alignment horizontal="center" vertical="center"/>
    </xf>
    <xf numFmtId="0" fontId="73" fillId="0" borderId="0" xfId="0" applyFont="1" applyAlignment="1">
      <alignment horizontal="center"/>
    </xf>
    <xf numFmtId="0" fontId="63" fillId="0" borderId="1" xfId="0" applyFont="1" applyBorder="1" applyAlignment="1">
      <alignment horizontal="center"/>
    </xf>
    <xf numFmtId="0" fontId="74" fillId="0" borderId="1" xfId="0" applyFont="1" applyBorder="1" applyAlignment="1">
      <alignment horizontal="right" vertical="center" wrapText="1"/>
    </xf>
    <xf numFmtId="0" fontId="72" fillId="0" borderId="4" xfId="0" applyFont="1" applyBorder="1" applyAlignment="1">
      <alignment horizontal="right" vertical="center"/>
    </xf>
    <xf numFmtId="0" fontId="72" fillId="0" borderId="1" xfId="0" applyFont="1" applyBorder="1" applyAlignment="1">
      <alignment horizontal="right" vertical="center"/>
    </xf>
    <xf numFmtId="164" fontId="58" fillId="0" borderId="0" xfId="0" applyNumberFormat="1" applyFont="1" applyAlignment="1">
      <alignment horizontal="center"/>
    </xf>
    <xf numFmtId="0" fontId="78" fillId="25" borderId="1" xfId="0" applyFont="1" applyFill="1" applyBorder="1" applyAlignment="1">
      <alignment horizontal="right"/>
    </xf>
    <xf numFmtId="164" fontId="78" fillId="25" borderId="1" xfId="0" applyNumberFormat="1" applyFont="1" applyFill="1" applyBorder="1" applyAlignment="1">
      <alignment horizontal="center"/>
    </xf>
    <xf numFmtId="164" fontId="65" fillId="0" borderId="0" xfId="0" applyNumberFormat="1" applyFont="1" applyAlignment="1">
      <alignment horizontal="center"/>
    </xf>
    <xf numFmtId="164" fontId="79" fillId="25" borderId="11" xfId="0" applyNumberFormat="1" applyFont="1" applyFill="1" applyBorder="1"/>
    <xf numFmtId="164" fontId="78" fillId="9" borderId="10" xfId="0" applyNumberFormat="1" applyFont="1" applyFill="1" applyBorder="1" applyAlignment="1">
      <alignment horizontal="right"/>
    </xf>
    <xf numFmtId="164" fontId="78" fillId="9" borderId="11" xfId="0" applyNumberFormat="1" applyFont="1" applyFill="1" applyBorder="1" applyAlignment="1">
      <alignment horizontal="center"/>
    </xf>
    <xf numFmtId="164" fontId="58" fillId="25" borderId="11" xfId="0" applyNumberFormat="1" applyFont="1" applyFill="1" applyBorder="1" applyAlignment="1">
      <alignment horizontal="center"/>
    </xf>
    <xf numFmtId="164" fontId="78" fillId="9" borderId="64" xfId="0" applyNumberFormat="1" applyFont="1" applyFill="1" applyBorder="1" applyAlignment="1">
      <alignment horizontal="center"/>
    </xf>
    <xf numFmtId="0" fontId="80" fillId="0" borderId="10" xfId="0" applyFont="1" applyBorder="1" applyAlignment="1">
      <alignment horizontal="right"/>
    </xf>
    <xf numFmtId="0" fontId="58" fillId="0" borderId="64" xfId="0" applyFont="1" applyBorder="1" applyAlignment="1">
      <alignment horizontal="center"/>
    </xf>
    <xf numFmtId="0" fontId="58" fillId="0" borderId="64" xfId="0" applyFont="1" applyBorder="1" applyAlignment="1">
      <alignment horizontal="right"/>
    </xf>
    <xf numFmtId="0" fontId="58" fillId="0" borderId="11" xfId="0" applyFont="1" applyBorder="1" applyAlignment="1">
      <alignment horizontal="center"/>
    </xf>
    <xf numFmtId="0" fontId="58" fillId="0" borderId="10" xfId="0" applyFont="1" applyBorder="1" applyAlignment="1">
      <alignment horizontal="right"/>
    </xf>
    <xf numFmtId="0" fontId="57" fillId="0" borderId="0" xfId="0" applyFont="1" applyAlignment="1">
      <alignment horizontal="center" vertical="center" readingOrder="2"/>
    </xf>
    <xf numFmtId="0" fontId="83" fillId="0" borderId="0" xfId="0" applyFont="1" applyAlignment="1">
      <alignment horizontal="center"/>
    </xf>
    <xf numFmtId="0" fontId="84" fillId="24" borderId="1" xfId="0" applyFont="1" applyFill="1" applyBorder="1" applyAlignment="1">
      <alignment horizontal="center"/>
    </xf>
    <xf numFmtId="0" fontId="85" fillId="24" borderId="1" xfId="0" applyFont="1" applyFill="1" applyBorder="1" applyAlignment="1">
      <alignment horizontal="right"/>
    </xf>
    <xf numFmtId="0" fontId="61" fillId="0" borderId="1" xfId="0" applyFont="1" applyBorder="1" applyAlignment="1">
      <alignment horizontal="right"/>
    </xf>
    <xf numFmtId="0" fontId="74" fillId="0" borderId="1" xfId="0" applyFont="1" applyBorder="1" applyAlignment="1">
      <alignment horizontal="right" vertical="center"/>
    </xf>
    <xf numFmtId="0" fontId="60" fillId="16" borderId="1" xfId="0" applyFont="1" applyFill="1" applyBorder="1" applyAlignment="1">
      <alignment horizontal="right"/>
    </xf>
    <xf numFmtId="0" fontId="77" fillId="16" borderId="1" xfId="0" applyFont="1" applyFill="1" applyBorder="1" applyAlignment="1">
      <alignment horizontal="right" vertical="center"/>
    </xf>
    <xf numFmtId="0" fontId="60" fillId="0" borderId="1" xfId="0" applyFont="1" applyBorder="1" applyAlignment="1">
      <alignment horizontal="center"/>
    </xf>
    <xf numFmtId="164" fontId="77" fillId="0" borderId="1" xfId="0" applyNumberFormat="1" applyFont="1" applyBorder="1" applyAlignment="1">
      <alignment horizontal="center"/>
    </xf>
    <xf numFmtId="0" fontId="79" fillId="25" borderId="1" xfId="0" applyFont="1" applyFill="1" applyBorder="1" applyAlignment="1">
      <alignment horizontal="right"/>
    </xf>
    <xf numFmtId="0" fontId="78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0" xfId="0" applyNumberFormat="1"/>
    <xf numFmtId="0" fontId="5" fillId="14" borderId="1" xfId="0" applyFont="1" applyFill="1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0" fontId="0" fillId="0" borderId="1" xfId="0" applyBorder="1" applyAlignment="1">
      <alignment readingOrder="2"/>
    </xf>
    <xf numFmtId="0" fontId="0" fillId="0" borderId="1" xfId="0" applyBorder="1" applyAlignment="1">
      <alignment horizontal="right"/>
    </xf>
    <xf numFmtId="0" fontId="5" fillId="26" borderId="1" xfId="0" applyFont="1" applyFill="1" applyBorder="1"/>
    <xf numFmtId="0" fontId="87" fillId="0" borderId="0" xfId="0" applyFont="1" applyAlignment="1">
      <alignment horizontal="right" vertical="center" readingOrder="1"/>
    </xf>
    <xf numFmtId="0" fontId="0" fillId="0" borderId="0" xfId="0" applyAlignment="1">
      <alignment readingOrder="1"/>
    </xf>
    <xf numFmtId="0" fontId="91" fillId="0" borderId="1" xfId="0" applyFont="1" applyBorder="1" applyAlignment="1">
      <alignment horizontal="center" vertical="center" wrapText="1" readingOrder="2"/>
    </xf>
    <xf numFmtId="0" fontId="92" fillId="0" borderId="1" xfId="0" applyFont="1" applyBorder="1" applyAlignment="1">
      <alignment horizontal="right" vertical="center" wrapText="1" readingOrder="2"/>
    </xf>
    <xf numFmtId="0" fontId="88" fillId="0" borderId="1" xfId="0" applyFont="1" applyBorder="1" applyAlignment="1">
      <alignment horizontal="right" vertical="center" wrapText="1" readingOrder="2"/>
    </xf>
    <xf numFmtId="0" fontId="91" fillId="0" borderId="1" xfId="0" applyFont="1" applyBorder="1" applyAlignment="1">
      <alignment horizontal="right" vertical="center" wrapText="1" readingOrder="2"/>
    </xf>
    <xf numFmtId="0" fontId="14" fillId="0" borderId="0" xfId="3" applyFont="1" applyAlignment="1">
      <alignment horizontal="right" vertical="center" readingOrder="2"/>
    </xf>
    <xf numFmtId="0" fontId="7" fillId="0" borderId="0" xfId="3" applyFont="1" applyAlignment="1">
      <alignment vertical="center" wrapText="1" readingOrder="2"/>
    </xf>
    <xf numFmtId="0" fontId="7" fillId="0" borderId="0" xfId="3" applyFont="1" applyAlignment="1">
      <alignment horizontal="center" vertical="center" wrapText="1" readingOrder="2"/>
    </xf>
    <xf numFmtId="0" fontId="18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 readingOrder="2"/>
    </xf>
    <xf numFmtId="164" fontId="13" fillId="0" borderId="0" xfId="0" applyNumberFormat="1" applyFont="1" applyAlignment="1">
      <alignment horizontal="center" vertical="center" wrapText="1" readingOrder="2"/>
    </xf>
    <xf numFmtId="164" fontId="13" fillId="0" borderId="0" xfId="0" applyNumberFormat="1" applyFont="1" applyAlignment="1">
      <alignment horizontal="center" vertical="center"/>
    </xf>
    <xf numFmtId="0" fontId="19" fillId="0" borderId="0" xfId="0" applyFont="1" applyAlignment="1">
      <alignment vertical="center" wrapText="1" readingOrder="2"/>
    </xf>
    <xf numFmtId="0" fontId="19" fillId="0" borderId="0" xfId="0" applyFont="1" applyAlignment="1">
      <alignment vertical="center" wrapText="1"/>
    </xf>
    <xf numFmtId="0" fontId="22" fillId="0" borderId="0" xfId="0" applyFont="1"/>
    <xf numFmtId="0" fontId="23" fillId="0" borderId="0" xfId="0" applyFont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0" fontId="17" fillId="0" borderId="0" xfId="0" applyFont="1"/>
    <xf numFmtId="0" fontId="24" fillId="0" borderId="0" xfId="0" applyFont="1" applyAlignment="1">
      <alignment vertical="center"/>
    </xf>
    <xf numFmtId="3" fontId="21" fillId="0" borderId="0" xfId="0" applyNumberFormat="1" applyFont="1" applyAlignment="1">
      <alignment vertical="center"/>
    </xf>
    <xf numFmtId="0" fontId="27" fillId="12" borderId="1" xfId="0" applyFont="1" applyFill="1" applyBorder="1" applyAlignment="1">
      <alignment wrapText="1"/>
    </xf>
    <xf numFmtId="166" fontId="27" fillId="12" borderId="1" xfId="0" applyNumberFormat="1" applyFont="1" applyFill="1" applyBorder="1" applyAlignment="1">
      <alignment horizontal="right" vertical="center" wrapText="1"/>
    </xf>
    <xf numFmtId="0" fontId="27" fillId="12" borderId="1" xfId="0" applyFont="1" applyFill="1" applyBorder="1" applyAlignment="1">
      <alignment horizontal="center" vertical="center"/>
    </xf>
    <xf numFmtId="164" fontId="40" fillId="12" borderId="1" xfId="0" applyNumberFormat="1" applyFont="1" applyFill="1" applyBorder="1" applyAlignment="1">
      <alignment horizontal="center" vertical="center"/>
    </xf>
    <xf numFmtId="164" fontId="27" fillId="12" borderId="1" xfId="0" applyNumberFormat="1" applyFont="1" applyFill="1" applyBorder="1" applyAlignment="1">
      <alignment horizontal="center" vertical="center"/>
    </xf>
    <xf numFmtId="0" fontId="16" fillId="0" borderId="10" xfId="0" applyFont="1" applyBorder="1"/>
    <xf numFmtId="0" fontId="26" fillId="0" borderId="2" xfId="0" applyFont="1" applyBorder="1" applyAlignment="1">
      <alignment vertical="center"/>
    </xf>
    <xf numFmtId="166" fontId="26" fillId="5" borderId="2" xfId="0" applyNumberFormat="1" applyFont="1" applyFill="1" applyBorder="1" applyAlignment="1">
      <alignment horizontal="right" vertical="center"/>
    </xf>
    <xf numFmtId="0" fontId="26" fillId="5" borderId="2" xfId="0" applyFont="1" applyFill="1" applyBorder="1" applyAlignment="1">
      <alignment horizontal="right" vertical="center"/>
    </xf>
    <xf numFmtId="1" fontId="26" fillId="5" borderId="2" xfId="0" applyNumberFormat="1" applyFont="1" applyFill="1" applyBorder="1" applyAlignment="1">
      <alignment horizontal="right" vertical="center"/>
    </xf>
    <xf numFmtId="0" fontId="27" fillId="27" borderId="12" xfId="0" applyFont="1" applyFill="1" applyBorder="1" applyAlignment="1">
      <alignment vertical="center" wrapText="1"/>
    </xf>
    <xf numFmtId="0" fontId="27" fillId="27" borderId="18" xfId="0" applyFont="1" applyFill="1" applyBorder="1" applyAlignment="1">
      <alignment vertical="center" wrapText="1"/>
    </xf>
    <xf numFmtId="166" fontId="26" fillId="27" borderId="18" xfId="0" applyNumberFormat="1" applyFont="1" applyFill="1" applyBorder="1" applyAlignment="1">
      <alignment horizontal="right" vertical="center"/>
    </xf>
    <xf numFmtId="0" fontId="26" fillId="27" borderId="18" xfId="0" applyFont="1" applyFill="1" applyBorder="1" applyAlignment="1">
      <alignment horizontal="center" vertical="center"/>
    </xf>
    <xf numFmtId="0" fontId="26" fillId="27" borderId="18" xfId="0" applyFont="1" applyFill="1" applyBorder="1" applyAlignment="1">
      <alignment horizontal="right" vertical="center"/>
    </xf>
    <xf numFmtId="1" fontId="26" fillId="27" borderId="18" xfId="0" applyNumberFormat="1" applyFont="1" applyFill="1" applyBorder="1" applyAlignment="1">
      <alignment horizontal="right" vertical="center"/>
    </xf>
    <xf numFmtId="166" fontId="27" fillId="27" borderId="18" xfId="0" applyNumberFormat="1" applyFont="1" applyFill="1" applyBorder="1" applyAlignment="1">
      <alignment horizontal="right" vertical="center"/>
    </xf>
    <xf numFmtId="166" fontId="26" fillId="27" borderId="13" xfId="0" applyNumberFormat="1" applyFont="1" applyFill="1" applyBorder="1" applyAlignment="1">
      <alignment horizontal="right" vertical="center"/>
    </xf>
    <xf numFmtId="0" fontId="26" fillId="9" borderId="16" xfId="0" applyFont="1" applyFill="1" applyBorder="1" applyAlignment="1">
      <alignment vertical="center"/>
    </xf>
    <xf numFmtId="0" fontId="26" fillId="9" borderId="19" xfId="0" applyFont="1" applyFill="1" applyBorder="1" applyAlignment="1">
      <alignment vertical="center"/>
    </xf>
    <xf numFmtId="0" fontId="10" fillId="9" borderId="19" xfId="0" applyFont="1" applyFill="1" applyBorder="1"/>
    <xf numFmtId="0" fontId="12" fillId="9" borderId="19" xfId="0" applyFont="1" applyFill="1" applyBorder="1"/>
    <xf numFmtId="0" fontId="10" fillId="9" borderId="17" xfId="0" applyFont="1" applyFill="1" applyBorder="1"/>
    <xf numFmtId="0" fontId="0" fillId="27" borderId="1" xfId="0" applyFill="1" applyBorder="1"/>
    <xf numFmtId="0" fontId="90" fillId="0" borderId="1" xfId="0" applyFont="1" applyBorder="1" applyAlignment="1">
      <alignment horizontal="right" vertical="center" readingOrder="1"/>
    </xf>
    <xf numFmtId="0" fontId="0" fillId="0" borderId="1" xfId="0" applyBorder="1" applyAlignment="1">
      <alignment readingOrder="1"/>
    </xf>
    <xf numFmtId="0" fontId="91" fillId="0" borderId="1" xfId="0" applyFont="1" applyBorder="1" applyAlignment="1">
      <alignment horizontal="right" vertical="center" readingOrder="1"/>
    </xf>
    <xf numFmtId="0" fontId="92" fillId="0" borderId="1" xfId="0" applyFont="1" applyBorder="1" applyAlignment="1">
      <alignment horizontal="right" vertical="center" readingOrder="1"/>
    </xf>
    <xf numFmtId="0" fontId="0" fillId="9" borderId="1" xfId="0" applyFill="1" applyBorder="1"/>
    <xf numFmtId="167" fontId="5" fillId="9" borderId="1" xfId="1" applyNumberFormat="1" applyFont="1" applyFill="1" applyBorder="1"/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5" fillId="27" borderId="1" xfId="0" applyFont="1" applyFill="1" applyBorder="1" applyAlignment="1">
      <alignment horizontal="center" vertical="center" wrapText="1"/>
    </xf>
    <xf numFmtId="0" fontId="5" fillId="24" borderId="1" xfId="0" applyFont="1" applyFill="1" applyBorder="1" applyAlignment="1">
      <alignment horizontal="center" vertical="center" wrapText="1"/>
    </xf>
    <xf numFmtId="0" fontId="28" fillId="10" borderId="65" xfId="0" applyFont="1" applyFill="1" applyBorder="1" applyAlignment="1">
      <alignment horizontal="center" vertical="center"/>
    </xf>
    <xf numFmtId="0" fontId="28" fillId="10" borderId="8" xfId="0" applyFont="1" applyFill="1" applyBorder="1" applyAlignment="1">
      <alignment horizontal="center" vertical="center"/>
    </xf>
    <xf numFmtId="0" fontId="28" fillId="10" borderId="9" xfId="0" applyFont="1" applyFill="1" applyBorder="1" applyAlignment="1">
      <alignment horizontal="center" vertical="center"/>
    </xf>
    <xf numFmtId="165" fontId="28" fillId="10" borderId="43" xfId="0" applyNumberFormat="1" applyFont="1" applyFill="1" applyBorder="1" applyAlignment="1">
      <alignment horizontal="center" vertical="center"/>
    </xf>
    <xf numFmtId="165" fontId="28" fillId="10" borderId="58" xfId="0" applyNumberFormat="1" applyFont="1" applyFill="1" applyBorder="1" applyAlignment="1">
      <alignment horizontal="center" vertical="center"/>
    </xf>
    <xf numFmtId="165" fontId="28" fillId="10" borderId="45" xfId="0" applyNumberFormat="1" applyFont="1" applyFill="1" applyBorder="1" applyAlignment="1">
      <alignment horizontal="center" vertical="center"/>
    </xf>
    <xf numFmtId="0" fontId="29" fillId="0" borderId="66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7" xfId="0" applyFont="1" applyBorder="1" applyAlignment="1">
      <alignment horizontal="center" vertical="center"/>
    </xf>
    <xf numFmtId="0" fontId="45" fillId="9" borderId="16" xfId="4" applyFont="1" applyFill="1" applyBorder="1" applyAlignment="1">
      <alignment horizontal="center" vertical="center" wrapText="1" readingOrder="2"/>
    </xf>
    <xf numFmtId="0" fontId="45" fillId="9" borderId="19" xfId="4" applyFont="1" applyFill="1" applyBorder="1" applyAlignment="1">
      <alignment horizontal="center" vertical="center" wrapText="1" readingOrder="2"/>
    </xf>
    <xf numFmtId="0" fontId="41" fillId="21" borderId="12" xfId="4" applyFont="1" applyFill="1" applyBorder="1" applyAlignment="1">
      <alignment horizontal="center" vertical="center" textRotation="90" wrapText="1" readingOrder="2"/>
    </xf>
    <xf numFmtId="0" fontId="41" fillId="21" borderId="14" xfId="4" applyFont="1" applyFill="1" applyBorder="1" applyAlignment="1">
      <alignment horizontal="center" vertical="center" textRotation="90" wrapText="1" readingOrder="2"/>
    </xf>
    <xf numFmtId="0" fontId="41" fillId="21" borderId="16" xfId="4" applyFont="1" applyFill="1" applyBorder="1" applyAlignment="1">
      <alignment horizontal="center" vertical="center" textRotation="90" wrapText="1" readingOrder="2"/>
    </xf>
    <xf numFmtId="1" fontId="42" fillId="5" borderId="2" xfId="4" applyNumberFormat="1" applyFont="1" applyFill="1" applyBorder="1" applyAlignment="1">
      <alignment horizontal="center" vertical="center" readingOrder="2"/>
    </xf>
    <xf numFmtId="1" fontId="42" fillId="5" borderId="4" xfId="4" applyNumberFormat="1" applyFont="1" applyFill="1" applyBorder="1" applyAlignment="1">
      <alignment horizontal="center" vertical="center" readingOrder="2"/>
    </xf>
    <xf numFmtId="164" fontId="42" fillId="5" borderId="2" xfId="4" applyNumberFormat="1" applyFont="1" applyFill="1" applyBorder="1" applyAlignment="1">
      <alignment horizontal="center" vertical="center" readingOrder="2"/>
    </xf>
    <xf numFmtId="164" fontId="42" fillId="5" borderId="4" xfId="4" applyNumberFormat="1" applyFont="1" applyFill="1" applyBorder="1" applyAlignment="1">
      <alignment horizontal="center" vertical="center" readingOrder="2"/>
    </xf>
    <xf numFmtId="0" fontId="42" fillId="5" borderId="43" xfId="4" applyFont="1" applyFill="1" applyBorder="1" applyAlignment="1">
      <alignment horizontal="center" vertical="center" wrapText="1" readingOrder="2"/>
    </xf>
    <xf numFmtId="0" fontId="42" fillId="5" borderId="45" xfId="4" applyFont="1" applyFill="1" applyBorder="1" applyAlignment="1">
      <alignment horizontal="center" vertical="center" wrapText="1" readingOrder="2"/>
    </xf>
    <xf numFmtId="0" fontId="30" fillId="8" borderId="44" xfId="4" applyFont="1" applyFill="1" applyBorder="1" applyAlignment="1">
      <alignment horizontal="center" vertical="center" wrapText="1" readingOrder="2"/>
    </xf>
    <xf numFmtId="0" fontId="30" fillId="8" borderId="42" xfId="4" applyFont="1" applyFill="1" applyBorder="1" applyAlignment="1">
      <alignment horizontal="center" vertical="center" wrapText="1" readingOrder="2"/>
    </xf>
    <xf numFmtId="0" fontId="45" fillId="6" borderId="9" xfId="4" applyFont="1" applyFill="1" applyBorder="1" applyAlignment="1">
      <alignment horizontal="center" vertical="center" readingOrder="2"/>
    </xf>
    <xf numFmtId="0" fontId="45" fillId="6" borderId="4" xfId="4" applyFont="1" applyFill="1" applyBorder="1" applyAlignment="1">
      <alignment horizontal="center" vertical="center" readingOrder="2"/>
    </xf>
    <xf numFmtId="0" fontId="41" fillId="19" borderId="12" xfId="4" applyFont="1" applyFill="1" applyBorder="1" applyAlignment="1">
      <alignment horizontal="center" vertical="center" textRotation="90" wrapText="1" readingOrder="2"/>
    </xf>
    <xf numFmtId="0" fontId="41" fillId="19" borderId="14" xfId="4" applyFont="1" applyFill="1" applyBorder="1" applyAlignment="1">
      <alignment horizontal="center" vertical="center" textRotation="90" wrapText="1" readingOrder="2"/>
    </xf>
    <xf numFmtId="0" fontId="41" fillId="19" borderId="16" xfId="4" applyFont="1" applyFill="1" applyBorder="1" applyAlignment="1">
      <alignment horizontal="center" vertical="center" textRotation="90" wrapText="1" readingOrder="2"/>
    </xf>
    <xf numFmtId="0" fontId="41" fillId="16" borderId="12" xfId="4" applyFont="1" applyFill="1" applyBorder="1" applyAlignment="1">
      <alignment horizontal="center" vertical="center" textRotation="90" wrapText="1" readingOrder="2"/>
    </xf>
    <xf numFmtId="0" fontId="41" fillId="16" borderId="14" xfId="4" applyFont="1" applyFill="1" applyBorder="1" applyAlignment="1">
      <alignment horizontal="center" vertical="center" textRotation="90" wrapText="1" readingOrder="2"/>
    </xf>
    <xf numFmtId="0" fontId="41" fillId="16" borderId="16" xfId="4" applyFont="1" applyFill="1" applyBorder="1" applyAlignment="1">
      <alignment horizontal="center" vertical="center" textRotation="90" wrapText="1" readingOrder="2"/>
    </xf>
    <xf numFmtId="0" fontId="7" fillId="0" borderId="39" xfId="0" applyFont="1" applyBorder="1" applyAlignment="1">
      <alignment horizontal="center" vertical="center" wrapText="1" readingOrder="2"/>
    </xf>
    <xf numFmtId="0" fontId="7" fillId="0" borderId="22" xfId="0" applyFont="1" applyBorder="1" applyAlignment="1">
      <alignment horizontal="center" vertical="center" wrapText="1" readingOrder="2"/>
    </xf>
    <xf numFmtId="0" fontId="7" fillId="0" borderId="42" xfId="0" applyFont="1" applyBorder="1" applyAlignment="1">
      <alignment horizontal="center" vertical="center" wrapText="1" readingOrder="2"/>
    </xf>
    <xf numFmtId="0" fontId="41" fillId="20" borderId="12" xfId="4" applyFont="1" applyFill="1" applyBorder="1" applyAlignment="1">
      <alignment horizontal="center" vertical="center" textRotation="90" wrapText="1" readingOrder="2"/>
    </xf>
    <xf numFmtId="0" fontId="41" fillId="20" borderId="14" xfId="4" applyFont="1" applyFill="1" applyBorder="1" applyAlignment="1">
      <alignment horizontal="center" vertical="center" textRotation="90" wrapText="1" readingOrder="2"/>
    </xf>
    <xf numFmtId="0" fontId="41" fillId="20" borderId="16" xfId="4" applyFont="1" applyFill="1" applyBorder="1" applyAlignment="1">
      <alignment horizontal="center" vertical="center" textRotation="90" wrapText="1" readingOrder="2"/>
    </xf>
    <xf numFmtId="0" fontId="41" fillId="14" borderId="12" xfId="4" applyFont="1" applyFill="1" applyBorder="1" applyAlignment="1">
      <alignment horizontal="center" vertical="center" textRotation="90" wrapText="1" readingOrder="2"/>
    </xf>
    <xf numFmtId="0" fontId="41" fillId="14" borderId="14" xfId="4" applyFont="1" applyFill="1" applyBorder="1" applyAlignment="1">
      <alignment horizontal="center" vertical="center" textRotation="90" wrapText="1" readingOrder="2"/>
    </xf>
    <xf numFmtId="0" fontId="41" fillId="14" borderId="16" xfId="4" applyFont="1" applyFill="1" applyBorder="1" applyAlignment="1">
      <alignment horizontal="center" vertical="center" textRotation="90" wrapText="1" readingOrder="2"/>
    </xf>
    <xf numFmtId="0" fontId="41" fillId="15" borderId="12" xfId="4" applyFont="1" applyFill="1" applyBorder="1" applyAlignment="1">
      <alignment horizontal="center" vertical="center" textRotation="90" wrapText="1" readingOrder="2"/>
    </xf>
    <xf numFmtId="0" fontId="41" fillId="15" borderId="14" xfId="4" applyFont="1" applyFill="1" applyBorder="1" applyAlignment="1">
      <alignment horizontal="center" vertical="center" textRotation="90" wrapText="1" readingOrder="2"/>
    </xf>
    <xf numFmtId="0" fontId="41" fillId="15" borderId="16" xfId="4" applyFont="1" applyFill="1" applyBorder="1" applyAlignment="1">
      <alignment horizontal="center" vertical="center" textRotation="90" wrapText="1" readingOrder="2"/>
    </xf>
    <xf numFmtId="0" fontId="41" fillId="17" borderId="12" xfId="4" applyFont="1" applyFill="1" applyBorder="1" applyAlignment="1">
      <alignment horizontal="center" vertical="center" textRotation="90" wrapText="1" readingOrder="2"/>
    </xf>
    <xf numFmtId="0" fontId="41" fillId="17" borderId="14" xfId="4" applyFont="1" applyFill="1" applyBorder="1" applyAlignment="1">
      <alignment horizontal="center" vertical="center" textRotation="90" wrapText="1" readingOrder="2"/>
    </xf>
    <xf numFmtId="0" fontId="41" fillId="17" borderId="16" xfId="4" applyFont="1" applyFill="1" applyBorder="1" applyAlignment="1">
      <alignment horizontal="center" vertical="center" textRotation="90" wrapText="1" readingOrder="2"/>
    </xf>
    <xf numFmtId="0" fontId="11" fillId="19" borderId="31" xfId="0" applyFont="1" applyFill="1" applyBorder="1" applyAlignment="1">
      <alignment horizontal="center" vertical="center" wrapText="1"/>
    </xf>
    <xf numFmtId="0" fontId="11" fillId="19" borderId="32" xfId="0" applyFont="1" applyFill="1" applyBorder="1" applyAlignment="1">
      <alignment horizontal="center" vertical="center" wrapText="1"/>
    </xf>
    <xf numFmtId="0" fontId="11" fillId="19" borderId="33" xfId="0" applyFont="1" applyFill="1" applyBorder="1" applyAlignment="1">
      <alignment horizontal="center" vertical="center" wrapText="1"/>
    </xf>
    <xf numFmtId="0" fontId="11" fillId="19" borderId="6" xfId="0" applyFont="1" applyFill="1" applyBorder="1" applyAlignment="1">
      <alignment horizontal="center" vertical="center" wrapText="1"/>
    </xf>
    <xf numFmtId="0" fontId="11" fillId="19" borderId="49" xfId="0" applyFont="1" applyFill="1" applyBorder="1" applyAlignment="1">
      <alignment horizontal="center" vertical="center" wrapText="1"/>
    </xf>
    <xf numFmtId="0" fontId="11" fillId="19" borderId="39" xfId="0" applyFont="1" applyFill="1" applyBorder="1" applyAlignment="1">
      <alignment horizontal="center" vertical="center" wrapText="1"/>
    </xf>
    <xf numFmtId="0" fontId="11" fillId="19" borderId="50" xfId="0" applyFont="1" applyFill="1" applyBorder="1" applyAlignment="1">
      <alignment horizontal="center" vertical="center" wrapText="1"/>
    </xf>
    <xf numFmtId="0" fontId="11" fillId="19" borderId="30" xfId="0" applyFont="1" applyFill="1" applyBorder="1" applyAlignment="1">
      <alignment horizontal="center" vertical="center" wrapText="1"/>
    </xf>
    <xf numFmtId="0" fontId="11" fillId="19" borderId="51" xfId="0" applyFont="1" applyFill="1" applyBorder="1" applyAlignment="1">
      <alignment horizontal="center" vertical="center" wrapText="1"/>
    </xf>
    <xf numFmtId="1" fontId="52" fillId="22" borderId="31" xfId="0" applyNumberFormat="1" applyFont="1" applyFill="1" applyBorder="1" applyAlignment="1">
      <alignment horizontal="center" vertical="center"/>
    </xf>
    <xf numFmtId="1" fontId="52" fillId="22" borderId="32" xfId="0" applyNumberFormat="1" applyFont="1" applyFill="1" applyBorder="1" applyAlignment="1">
      <alignment horizontal="center" vertical="center"/>
    </xf>
    <xf numFmtId="1" fontId="52" fillId="22" borderId="33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164" fontId="11" fillId="5" borderId="2" xfId="0" applyNumberFormat="1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164" fontId="11" fillId="0" borderId="20" xfId="0" applyNumberFormat="1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20" xfId="0" applyFont="1" applyFill="1" applyBorder="1" applyAlignment="1">
      <alignment horizontal="center" vertical="center" wrapText="1"/>
    </xf>
    <xf numFmtId="164" fontId="11" fillId="5" borderId="18" xfId="0" applyNumberFormat="1" applyFont="1" applyFill="1" applyBorder="1" applyAlignment="1">
      <alignment horizontal="center" vertical="center" wrapText="1"/>
    </xf>
    <xf numFmtId="164" fontId="11" fillId="5" borderId="1" xfId="0" applyNumberFormat="1" applyFont="1" applyFill="1" applyBorder="1" applyAlignment="1">
      <alignment horizontal="center" vertical="center" wrapText="1"/>
    </xf>
    <xf numFmtId="164" fontId="11" fillId="5" borderId="4" xfId="0" applyNumberFormat="1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164" fontId="11" fillId="5" borderId="20" xfId="0" applyNumberFormat="1" applyFont="1" applyFill="1" applyBorder="1" applyAlignment="1">
      <alignment horizontal="center" vertical="center" wrapText="1"/>
    </xf>
    <xf numFmtId="164" fontId="11" fillId="5" borderId="3" xfId="0" applyNumberFormat="1" applyFont="1" applyFill="1" applyBorder="1" applyAlignment="1">
      <alignment horizontal="center" vertical="center" wrapText="1"/>
    </xf>
    <xf numFmtId="0" fontId="50" fillId="0" borderId="0" xfId="0" applyFont="1" applyAlignment="1">
      <alignment horizontal="center" vertical="center"/>
    </xf>
    <xf numFmtId="0" fontId="11" fillId="19" borderId="46" xfId="0" applyFont="1" applyFill="1" applyBorder="1" applyAlignment="1">
      <alignment horizontal="center" vertical="center" wrapText="1"/>
    </xf>
    <xf numFmtId="0" fontId="11" fillId="19" borderId="47" xfId="0" applyFont="1" applyFill="1" applyBorder="1" applyAlignment="1">
      <alignment horizontal="center" vertical="center" wrapText="1"/>
    </xf>
    <xf numFmtId="0" fontId="11" fillId="19" borderId="28" xfId="0" applyFont="1" applyFill="1" applyBorder="1" applyAlignment="1">
      <alignment horizontal="center" vertical="center" wrapText="1"/>
    </xf>
    <xf numFmtId="0" fontId="11" fillId="19" borderId="2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27" fillId="12" borderId="1" xfId="0" applyFont="1" applyFill="1" applyBorder="1" applyAlignment="1">
      <alignment horizontal="center" vertical="center" wrapText="1"/>
    </xf>
    <xf numFmtId="0" fontId="27" fillId="12" borderId="1" xfId="0" applyFont="1" applyFill="1" applyBorder="1" applyAlignment="1">
      <alignment horizontal="center" vertical="center"/>
    </xf>
    <xf numFmtId="0" fontId="27" fillId="12" borderId="1" xfId="0" applyFont="1" applyFill="1" applyBorder="1" applyAlignment="1">
      <alignment horizontal="right" vertical="center" wrapText="1"/>
    </xf>
    <xf numFmtId="166" fontId="27" fillId="12" borderId="1" xfId="0" applyNumberFormat="1" applyFont="1" applyFill="1" applyBorder="1" applyAlignment="1">
      <alignment horizontal="right" vertical="center" wrapText="1"/>
    </xf>
    <xf numFmtId="0" fontId="54" fillId="0" borderId="0" xfId="0" applyFont="1" applyAlignment="1">
      <alignment horizontal="center" vertical="center" readingOrder="2"/>
    </xf>
    <xf numFmtId="0" fontId="55" fillId="0" borderId="0" xfId="0" applyFont="1" applyAlignment="1">
      <alignment horizontal="center" vertical="center" readingOrder="2"/>
    </xf>
    <xf numFmtId="0" fontId="57" fillId="0" borderId="0" xfId="0" applyFont="1" applyAlignment="1">
      <alignment horizontal="center" vertical="center" readingOrder="2"/>
    </xf>
    <xf numFmtId="0" fontId="62" fillId="0" borderId="55" xfId="0" applyFont="1" applyBorder="1" applyAlignment="1">
      <alignment horizontal="center" vertical="top"/>
    </xf>
    <xf numFmtId="0" fontId="62" fillId="0" borderId="34" xfId="0" applyFont="1" applyBorder="1" applyAlignment="1">
      <alignment horizontal="center" vertical="top"/>
    </xf>
    <xf numFmtId="0" fontId="62" fillId="0" borderId="7" xfId="0" applyFont="1" applyBorder="1" applyAlignment="1">
      <alignment horizontal="center" vertical="top"/>
    </xf>
    <xf numFmtId="0" fontId="62" fillId="0" borderId="8" xfId="0" applyFont="1" applyBorder="1" applyAlignment="1">
      <alignment horizontal="center" vertical="top"/>
    </xf>
    <xf numFmtId="1" fontId="62" fillId="0" borderId="8" xfId="0" applyNumberFormat="1" applyFont="1" applyBorder="1" applyAlignment="1">
      <alignment horizontal="center" vertical="top"/>
    </xf>
    <xf numFmtId="0" fontId="60" fillId="0" borderId="60" xfId="0" applyFont="1" applyBorder="1" applyAlignment="1">
      <alignment horizontal="center" vertical="center" wrapText="1"/>
    </xf>
    <xf numFmtId="0" fontId="60" fillId="0" borderId="61" xfId="0" applyFont="1" applyBorder="1" applyAlignment="1">
      <alignment horizontal="center" vertical="center" wrapText="1"/>
    </xf>
    <xf numFmtId="0" fontId="62" fillId="23" borderId="20" xfId="0" applyFont="1" applyFill="1" applyBorder="1" applyAlignment="1">
      <alignment horizontal="center" vertical="center" wrapText="1"/>
    </xf>
    <xf numFmtId="0" fontId="62" fillId="23" borderId="53" xfId="0" applyFont="1" applyFill="1" applyBorder="1" applyAlignment="1">
      <alignment horizontal="center" vertical="center" wrapText="1"/>
    </xf>
    <xf numFmtId="166" fontId="62" fillId="23" borderId="20" xfId="0" applyNumberFormat="1" applyFont="1" applyFill="1" applyBorder="1" applyAlignment="1">
      <alignment horizontal="center" vertical="center" wrapText="1"/>
    </xf>
    <xf numFmtId="166" fontId="62" fillId="23" borderId="53" xfId="0" applyNumberFormat="1" applyFont="1" applyFill="1" applyBorder="1" applyAlignment="1">
      <alignment horizontal="center" vertical="center" wrapText="1"/>
    </xf>
    <xf numFmtId="0" fontId="92" fillId="0" borderId="1" xfId="0" applyFont="1" applyBorder="1" applyAlignment="1">
      <alignment horizontal="right" vertical="center" wrapText="1" readingOrder="2"/>
    </xf>
    <xf numFmtId="0" fontId="91" fillId="0" borderId="1" xfId="0" applyFont="1" applyBorder="1" applyAlignment="1">
      <alignment horizontal="right" vertical="center" wrapText="1" readingOrder="2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6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3" applyFont="1" applyFill="1" applyAlignment="1">
      <alignment horizontal="center" vertical="center" wrapText="1" readingOrder="2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8">
    <cellStyle name="Comma" xfId="1" builtinId="3"/>
    <cellStyle name="Comma 2" xfId="7"/>
    <cellStyle name="Normal" xfId="0" builtinId="0"/>
    <cellStyle name="Normal 2" xfId="5"/>
    <cellStyle name="Normal 3" xfId="4"/>
    <cellStyle name="Normal 4" xfId="6"/>
    <cellStyle name="Normal_מס הכנסה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82827</xdr:colOff>
      <xdr:row>0</xdr:row>
      <xdr:rowOff>132522</xdr:rowOff>
    </xdr:from>
    <xdr:to>
      <xdr:col>0</xdr:col>
      <xdr:colOff>695739</xdr:colOff>
      <xdr:row>3</xdr:row>
      <xdr:rowOff>207065</xdr:rowOff>
    </xdr:to>
    <xdr:pic>
      <xdr:nvPicPr>
        <xdr:cNvPr id="2" name="תמונה 1" descr="logo">
          <a:extLst>
            <a:ext uri="{FF2B5EF4-FFF2-40B4-BE49-F238E27FC236}">
              <a16:creationId xmlns:a16="http://schemas.microsoft.com/office/drawing/2014/main" id="{8CAF73BD-D77A-4100-9B4C-0376EE9EBAD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17881811" y="132522"/>
          <a:ext cx="612912" cy="7793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6</xdr:col>
      <xdr:colOff>6322</xdr:colOff>
      <xdr:row>2</xdr:row>
      <xdr:rowOff>580</xdr:rowOff>
    </xdr:to>
    <xdr:pic>
      <xdr:nvPicPr>
        <xdr:cNvPr id="2" name="תמונה 1" descr="logo">
          <a:extLst>
            <a:ext uri="{FF2B5EF4-FFF2-40B4-BE49-F238E27FC236}">
              <a16:creationId xmlns:a16="http://schemas.microsoft.com/office/drawing/2014/main" id="{C9170D1C-B971-467D-8812-9B9774C84AA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16342378" y="0"/>
          <a:ext cx="406372" cy="368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82827</xdr:colOff>
      <xdr:row>0</xdr:row>
      <xdr:rowOff>132522</xdr:rowOff>
    </xdr:from>
    <xdr:to>
      <xdr:col>0</xdr:col>
      <xdr:colOff>695739</xdr:colOff>
      <xdr:row>4</xdr:row>
      <xdr:rowOff>64190</xdr:rowOff>
    </xdr:to>
    <xdr:pic>
      <xdr:nvPicPr>
        <xdr:cNvPr id="3" name="תמונה 2" descr="logo">
          <a:extLst>
            <a:ext uri="{FF2B5EF4-FFF2-40B4-BE49-F238E27FC236}">
              <a16:creationId xmlns:a16="http://schemas.microsoft.com/office/drawing/2014/main" id="{8EE1C3CB-5EBB-425C-A34C-55702F43092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19615361" y="132522"/>
          <a:ext cx="612912" cy="8016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82827</xdr:colOff>
      <xdr:row>0</xdr:row>
      <xdr:rowOff>132522</xdr:rowOff>
    </xdr:from>
    <xdr:to>
      <xdr:col>0</xdr:col>
      <xdr:colOff>695739</xdr:colOff>
      <xdr:row>4</xdr:row>
      <xdr:rowOff>159440</xdr:rowOff>
    </xdr:to>
    <xdr:pic>
      <xdr:nvPicPr>
        <xdr:cNvPr id="2" name="תמונה 1" descr="logo">
          <a:extLst>
            <a:ext uri="{FF2B5EF4-FFF2-40B4-BE49-F238E27FC236}">
              <a16:creationId xmlns:a16="http://schemas.microsoft.com/office/drawing/2014/main" id="{12275980-1E1D-4B84-91C8-B240B9D6640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21990261" y="132522"/>
          <a:ext cx="612912" cy="8841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ziN\AppData\Local\Microsoft\Windows\INetCache\Content.Outlook\BZB5FE1Z\&#1488;&#1490;&#1507;%20&#1512;&#1497;&#1513;&#1493;&#1501;%20&#1493;&#1492;&#1505;&#1491;&#1512;%20&#1502;&#1511;&#1512;&#1511;&#1506;&#1497;&#1503;%20-%20&#1495;&#1493;&#1500;&#1493;&#150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502;.&#1489;&#1512;&#1497;&#1488;&#1493;&#1514;%20&#1508;&#1512;&#1493;&#1490;&#1512;&#1502;&#1492;%20&#1504;&#1508;&#1514;%20&#1508;&#1514;&#1495;%20&#1514;&#1511;&#1493;&#1493;&#1492;%20&#1497;&#1493;&#1504;&#1497;%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גיליון1"/>
      <sheetName val="גיליון2"/>
      <sheetName val="תמצית מנהלים"/>
      <sheetName val="גיליון3"/>
    </sheetNames>
    <sheetDataSet>
      <sheetData sheetId="0" refreshError="1"/>
      <sheetData sheetId="1" refreshError="1">
        <row r="4">
          <cell r="A4" t="str">
            <v>A</v>
          </cell>
          <cell r="B4">
            <v>27.3</v>
          </cell>
          <cell r="C4" t="str">
            <v>שר (משרד ראשי)</v>
          </cell>
        </row>
        <row r="5">
          <cell r="A5" t="str">
            <v>B</v>
          </cell>
          <cell r="B5">
            <v>23.3</v>
          </cell>
          <cell r="C5" t="str">
            <v>סגן שר / מנכ"ל</v>
          </cell>
        </row>
        <row r="6">
          <cell r="A6" t="str">
            <v>C</v>
          </cell>
          <cell r="B6">
            <v>18.5</v>
          </cell>
          <cell r="C6" t="str">
            <v>סמנכ"ל / מנהל מחוז</v>
          </cell>
        </row>
        <row r="7">
          <cell r="A7" t="str">
            <v>D</v>
          </cell>
          <cell r="B7">
            <v>15.4</v>
          </cell>
          <cell r="C7" t="str">
            <v>עובד בכיר: ראש אגף / ראש תחום עם יותר מ-10 כפופים</v>
          </cell>
        </row>
        <row r="8">
          <cell r="A8" t="str">
            <v>E</v>
          </cell>
          <cell r="B8">
            <v>13.8</v>
          </cell>
          <cell r="C8" t="str">
            <v xml:space="preserve">מנהל מחלקה / מנהל לשכה </v>
          </cell>
        </row>
        <row r="9">
          <cell r="A9" t="str">
            <v>F</v>
          </cell>
          <cell r="B9">
            <v>11.4</v>
          </cell>
          <cell r="C9" t="str">
            <v>ראש תחום עם פחות מ-10 כפופים</v>
          </cell>
        </row>
        <row r="10">
          <cell r="A10" t="str">
            <v>G</v>
          </cell>
          <cell r="B10">
            <v>9.1</v>
          </cell>
          <cell r="C10" t="str">
            <v>סגן ראש אגף / סגן ראש תחום</v>
          </cell>
        </row>
        <row r="11">
          <cell r="A11" t="str">
            <v>GA</v>
          </cell>
          <cell r="B11">
            <v>9.1</v>
          </cell>
          <cell r="C11" t="str">
            <v>עובד דיסקרטי / עו"ד</v>
          </cell>
        </row>
        <row r="12">
          <cell r="A12" t="str">
            <v>EA</v>
          </cell>
          <cell r="B12">
            <v>13.8</v>
          </cell>
          <cell r="C12" t="str">
            <v xml:space="preserve">ממונה / רע"ן / מרכז בכיר / עובד </v>
          </cell>
        </row>
        <row r="13">
          <cell r="A13" t="str">
            <v>H</v>
          </cell>
          <cell r="B13">
            <v>7.7</v>
          </cell>
          <cell r="C13" t="str">
            <v>קבלת קהל עם תיוק / פריסת מפות</v>
          </cell>
        </row>
        <row r="14">
          <cell r="A14" t="str">
            <v>I</v>
          </cell>
          <cell r="B14">
            <v>6.8</v>
          </cell>
          <cell r="C14" t="str">
            <v>טלר</v>
          </cell>
        </row>
        <row r="15">
          <cell r="A15" t="str">
            <v>GB</v>
          </cell>
          <cell r="B15">
            <v>9.1</v>
          </cell>
          <cell r="C15" t="str">
            <v>מזכירה אחת / עם תיוק בחדר</v>
          </cell>
        </row>
        <row r="16">
          <cell r="A16" t="str">
            <v>EB</v>
          </cell>
          <cell r="B16">
            <v>13.8</v>
          </cell>
          <cell r="C16" t="str">
            <v>2 מזכירות בחדר משותף</v>
          </cell>
        </row>
        <row r="17">
          <cell r="A17" t="str">
            <v>IA</v>
          </cell>
          <cell r="B17">
            <v>6.8</v>
          </cell>
          <cell r="C17" t="str">
            <v>מזכירה / פקידה</v>
          </cell>
        </row>
        <row r="18">
          <cell r="A18" t="str">
            <v>J</v>
          </cell>
          <cell r="B18">
            <v>4.5999999999999996</v>
          </cell>
          <cell r="C18" t="str">
            <v xml:space="preserve">עמדת עבודה / עמדה חמה 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פרוגרמה לנפת פתח תקוה"/>
      <sheetName val="טיפוסי עמדות ועובדים"/>
      <sheetName val="חישובים למילולי WORD"/>
    </sheetNames>
    <sheetDataSet>
      <sheetData sheetId="0"/>
      <sheetData sheetId="1">
        <row r="1">
          <cell r="B1" t="str">
            <v>טיפוס</v>
          </cell>
          <cell r="C1" t="str">
            <v>שם טיפוס</v>
          </cell>
          <cell r="D1" t="str">
            <v>סוג עמדת עבודה</v>
          </cell>
          <cell r="E1" t="str">
            <v>רוחב</v>
          </cell>
          <cell r="F1" t="str">
            <v>אורך</v>
          </cell>
          <cell r="G1" t="str">
            <v>שטח נטו לעמדה</v>
          </cell>
          <cell r="H1" t="str">
            <v>הערות</v>
          </cell>
        </row>
        <row r="2">
          <cell r="B2" t="str">
            <v>A</v>
          </cell>
          <cell r="C2" t="str">
            <v xml:space="preserve">שר </v>
          </cell>
          <cell r="D2" t="str">
            <v>סגור</v>
          </cell>
          <cell r="E2">
            <v>4.4000000000000004</v>
          </cell>
          <cell r="F2">
            <v>6.2</v>
          </cell>
          <cell r="G2">
            <v>27.1</v>
          </cell>
          <cell r="H2"/>
        </row>
        <row r="3">
          <cell r="B3" t="str">
            <v>B</v>
          </cell>
          <cell r="C3" t="str">
            <v>סגן שר / מנכ"ל</v>
          </cell>
          <cell r="D3" t="str">
            <v>סגור</v>
          </cell>
          <cell r="E3">
            <v>4.4000000000000004</v>
          </cell>
          <cell r="F3">
            <v>5.3000000000000007</v>
          </cell>
          <cell r="G3">
            <v>22.5</v>
          </cell>
          <cell r="H3"/>
        </row>
        <row r="4">
          <cell r="B4" t="str">
            <v>C</v>
          </cell>
          <cell r="C4" t="str">
            <v xml:space="preserve"> סמנכ"ל / מנהל מחוז / חשב בכיר / יועץ משפטי / ראש אגף בכיר</v>
          </cell>
          <cell r="D4" t="str">
            <v>סגור</v>
          </cell>
          <cell r="E4">
            <v>3.5</v>
          </cell>
          <cell r="F4">
            <v>4.4000000000000004</v>
          </cell>
          <cell r="G4">
            <v>15.6</v>
          </cell>
          <cell r="H4" t="str">
            <v>לבד בחדר</v>
          </cell>
        </row>
        <row r="5">
          <cell r="B5" t="str">
            <v>C1</v>
          </cell>
          <cell r="C5" t="str">
            <v>מרפאה</v>
          </cell>
          <cell r="D5" t="str">
            <v>סגור</v>
          </cell>
          <cell r="E5">
            <v>3.5</v>
          </cell>
          <cell r="F5">
            <v>4.4000000000000004</v>
          </cell>
          <cell r="G5">
            <v>16</v>
          </cell>
          <cell r="H5"/>
        </row>
        <row r="6">
          <cell r="B6" t="str">
            <v>D</v>
          </cell>
          <cell r="C6" t="str">
            <v xml:space="preserve">ראש אגף / מנהל תחום בכיר/ חשב / דובר / מנהל מחלקה </v>
          </cell>
          <cell r="D6" t="str">
            <v>סגור</v>
          </cell>
          <cell r="E6">
            <v>2.6</v>
          </cell>
          <cell r="F6">
            <v>5.3000000000000007</v>
          </cell>
          <cell r="G6">
            <v>13.3</v>
          </cell>
          <cell r="H6" t="str">
            <v>לבד בחדר</v>
          </cell>
        </row>
        <row r="7">
          <cell r="B7" t="str">
            <v>E</v>
          </cell>
          <cell r="C7" t="str">
            <v xml:space="preserve"> / עובד דיסקרטי / כלכלן ומבקר בכיר / גזבר  / רכזת לשכה / סגן ראש אגף/מנהל תחום(מעל 10 כפיפים)עם המתנה / עו"ד</v>
          </cell>
          <cell r="D7" t="str">
            <v>סגור</v>
          </cell>
          <cell r="E7">
            <v>2.6</v>
          </cell>
          <cell r="F7">
            <v>4.4000000000000004</v>
          </cell>
          <cell r="G7">
            <v>10.7</v>
          </cell>
          <cell r="H7" t="str">
            <v>לבד בחדר</v>
          </cell>
        </row>
        <row r="8">
          <cell r="B8" t="str">
            <v>F</v>
          </cell>
          <cell r="C8" t="str">
            <v>מנהל תחום (פחות מ 10 כפיפים)/סגן ראש תחום  /מרכז / ממונה / רע"נ מרכז בכיר / יועץ / עובד מקצועי / מזכירה / פקידה / עוזר שר או מנכ"ל / רכז / יועץ בכיר / מדריך קבוע / עמדת קבלת קהל סטנדרטית</v>
          </cell>
          <cell r="D8" t="str">
            <v>סגור / פתוח</v>
          </cell>
          <cell r="E8">
            <v>2.6</v>
          </cell>
          <cell r="F8">
            <v>3.5</v>
          </cell>
          <cell r="G8">
            <v>6.65</v>
          </cell>
          <cell r="H8" t="str">
            <v>עמדות קבלת קהל נגישות וייחודיות  - לפי תכנון פרטני</v>
          </cell>
        </row>
        <row r="9">
          <cell r="B9" t="str">
            <v>G</v>
          </cell>
          <cell r="C9" t="str">
            <v>עובד טכני / עמדה חמה / סטודנטים / נהג
תקן חדש 4.2 מ"ר לאדם</v>
          </cell>
          <cell r="D9" t="str">
            <v>סגור / פתוח</v>
          </cell>
          <cell r="E9">
            <v>2.6</v>
          </cell>
          <cell r="F9">
            <v>2.6500000000000004</v>
          </cell>
          <cell r="G9">
            <v>4.4333333333333336</v>
          </cell>
          <cell r="H9" t="str">
            <v>שניים בחדר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rightToLeft="1" view="pageBreakPreview" zoomScale="70" zoomScaleNormal="85" zoomScaleSheetLayoutView="70" workbookViewId="0">
      <selection activeCell="L14" sqref="L14"/>
    </sheetView>
  </sheetViews>
  <sheetFormatPr defaultRowHeight="14.25" x14ac:dyDescent="0.2"/>
  <cols>
    <col min="1" max="1" width="3.125" bestFit="1" customWidth="1"/>
    <col min="2" max="2" width="36.125" bestFit="1" customWidth="1"/>
    <col min="3" max="3" width="43.125" bestFit="1" customWidth="1"/>
    <col min="4" max="4" width="24.5" customWidth="1"/>
    <col min="5" max="5" width="5.375" customWidth="1"/>
    <col min="6" max="6" width="6.125" bestFit="1" customWidth="1"/>
    <col min="7" max="7" width="11.125" style="33" bestFit="1" customWidth="1"/>
    <col min="8" max="8" width="23.125" style="33" bestFit="1" customWidth="1"/>
    <col min="9" max="9" width="14.625" bestFit="1" customWidth="1"/>
    <col min="10" max="10" width="13.875" bestFit="1" customWidth="1"/>
    <col min="11" max="11" width="10.5" bestFit="1" customWidth="1"/>
    <col min="12" max="12" width="10.125" bestFit="1" customWidth="1"/>
  </cols>
  <sheetData>
    <row r="1" spans="1:12" ht="42.6" customHeight="1" thickBot="1" x14ac:dyDescent="0.25">
      <c r="A1" s="54" t="s">
        <v>22</v>
      </c>
      <c r="B1" s="55" t="s">
        <v>0</v>
      </c>
      <c r="C1" s="55" t="s">
        <v>1</v>
      </c>
      <c r="D1" s="56" t="s">
        <v>38</v>
      </c>
      <c r="E1" s="63"/>
      <c r="F1" s="81"/>
      <c r="G1" s="92" t="s">
        <v>170</v>
      </c>
      <c r="H1" s="93" t="s">
        <v>171</v>
      </c>
      <c r="I1" s="103" t="s">
        <v>172</v>
      </c>
      <c r="J1" s="105" t="s">
        <v>0</v>
      </c>
      <c r="K1" s="106" t="s">
        <v>175</v>
      </c>
      <c r="L1" s="98" t="s">
        <v>32</v>
      </c>
    </row>
    <row r="2" spans="1:12" ht="15" x14ac:dyDescent="0.2">
      <c r="A2" s="57">
        <v>1</v>
      </c>
      <c r="B2" s="43" t="s">
        <v>4</v>
      </c>
      <c r="C2" s="43" t="s">
        <v>577</v>
      </c>
      <c r="D2" s="58">
        <f>'משרד הבריאות - נפה'!H71</f>
        <v>1402.1</v>
      </c>
      <c r="E2" s="45"/>
      <c r="F2" s="82"/>
      <c r="G2" s="83">
        <f t="shared" ref="G2:G11" si="0">D2/($D$14-$D$12)</f>
        <v>0.1262236809030057</v>
      </c>
      <c r="H2" s="84">
        <f t="shared" ref="H2:H10" si="1">$D$12*G2</f>
        <v>96.737829044063588</v>
      </c>
      <c r="I2" s="95">
        <f t="shared" ref="I2:I10" si="2">D2+H2</f>
        <v>1498.8378290440635</v>
      </c>
      <c r="J2" s="96" t="str">
        <f>B2</f>
        <v>משרד הבריאות</v>
      </c>
      <c r="K2" s="107">
        <f>I2</f>
        <v>1498.8378290440635</v>
      </c>
      <c r="L2" s="99">
        <f>SUM('משרד הבריאות - נפה'!D70:E70)</f>
        <v>56</v>
      </c>
    </row>
    <row r="3" spans="1:12" ht="15" x14ac:dyDescent="0.2">
      <c r="A3" s="57"/>
      <c r="B3" s="43" t="s">
        <v>176</v>
      </c>
      <c r="C3" s="43" t="s">
        <v>578</v>
      </c>
      <c r="D3" s="58">
        <f>SUM('משרד המשפטים - טאבו פתח תקווה '!P57:S57)</f>
        <v>1426.3287500000001</v>
      </c>
      <c r="E3" s="45"/>
      <c r="F3" s="82"/>
      <c r="G3" s="83">
        <f t="shared" si="0"/>
        <v>0.12840486770043721</v>
      </c>
      <c r="H3" s="84">
        <f t="shared" si="1"/>
        <v>98.40949060561509</v>
      </c>
      <c r="I3" s="95">
        <f t="shared" si="2"/>
        <v>1524.7382406056151</v>
      </c>
      <c r="J3" s="96" t="str">
        <f>B3</f>
        <v>משרד המשפטים</v>
      </c>
      <c r="K3" s="107">
        <f>I3</f>
        <v>1524.7382406056151</v>
      </c>
      <c r="L3" s="94">
        <f>'משרד המשפטים - טאבו פתח תקווה '!K56</f>
        <v>38</v>
      </c>
    </row>
    <row r="4" spans="1:12" ht="15" x14ac:dyDescent="0.2">
      <c r="A4" s="57">
        <v>2</v>
      </c>
      <c r="B4" s="43" t="s">
        <v>576</v>
      </c>
      <c r="C4" s="43" t="s">
        <v>240</v>
      </c>
      <c r="D4" s="58">
        <f>'רשות המיסים - מעמ פ"ת '!L47</f>
        <v>1786.105</v>
      </c>
      <c r="E4" s="45"/>
      <c r="F4" s="82"/>
      <c r="G4" s="83">
        <f t="shared" si="0"/>
        <v>0.16079362925559018</v>
      </c>
      <c r="H4" s="84">
        <f t="shared" si="1"/>
        <v>123.23223746148433</v>
      </c>
      <c r="I4" s="95">
        <f t="shared" si="2"/>
        <v>1909.3372374614844</v>
      </c>
      <c r="J4" s="96" t="str">
        <f>B4</f>
        <v xml:space="preserve">רשות המיסים </v>
      </c>
      <c r="K4" s="113">
        <f>I4</f>
        <v>1909.3372374614844</v>
      </c>
      <c r="L4" s="94">
        <f>'רשות המיסים - מעמ פ"ת '!C46</f>
        <v>62</v>
      </c>
    </row>
    <row r="5" spans="1:12" x14ac:dyDescent="0.2">
      <c r="A5" s="57">
        <v>3</v>
      </c>
      <c r="B5" s="43" t="s">
        <v>576</v>
      </c>
      <c r="C5" s="43" t="s">
        <v>579</v>
      </c>
      <c r="D5" s="58">
        <f>'רשות המיסים - מס הכנסה'!I88</f>
        <v>2573.5364999999997</v>
      </c>
      <c r="E5" s="45"/>
      <c r="F5" s="82"/>
      <c r="G5" s="83">
        <f t="shared" si="0"/>
        <v>0.23168194135100073</v>
      </c>
      <c r="H5" s="84">
        <f t="shared" si="1"/>
        <v>177.56103985140697</v>
      </c>
      <c r="I5" s="95">
        <f t="shared" si="2"/>
        <v>2751.0975398514065</v>
      </c>
      <c r="J5" s="520" t="str">
        <f>B5</f>
        <v xml:space="preserve">רשות המיסים </v>
      </c>
      <c r="K5" s="523">
        <f>I5+I6+I7</f>
        <v>4028.544375335322</v>
      </c>
      <c r="L5" s="526">
        <f>'רשות המיסים - מס הכנסה'!F86+'רשות המיסים - מיסוי מקרקעין'!F53+'רשות המיסים- מוקד פיצויים'!D24</f>
        <v>187</v>
      </c>
    </row>
    <row r="6" spans="1:12" x14ac:dyDescent="0.2">
      <c r="A6" s="57">
        <v>3</v>
      </c>
      <c r="B6" s="43" t="s">
        <v>576</v>
      </c>
      <c r="C6" s="43" t="s">
        <v>580</v>
      </c>
      <c r="D6" s="58">
        <f>'רשות המיסים - מיסוי מקרקעין'!I55</f>
        <v>1016.4979999999998</v>
      </c>
      <c r="E6" s="45"/>
      <c r="F6" s="82"/>
      <c r="G6" s="83">
        <f t="shared" si="0"/>
        <v>9.150996304867233E-2</v>
      </c>
      <c r="H6" s="84">
        <f t="shared" si="1"/>
        <v>70.13323568050248</v>
      </c>
      <c r="I6" s="95">
        <f t="shared" si="2"/>
        <v>1086.6312356805024</v>
      </c>
      <c r="J6" s="521"/>
      <c r="K6" s="524"/>
      <c r="L6" s="527"/>
    </row>
    <row r="7" spans="1:12" x14ac:dyDescent="0.2">
      <c r="A7" s="57">
        <v>4</v>
      </c>
      <c r="B7" s="43" t="s">
        <v>576</v>
      </c>
      <c r="C7" s="43" t="s">
        <v>581</v>
      </c>
      <c r="D7" s="58">
        <f>'רשות המיסים- מוקד פיצויים'!H27</f>
        <v>178.5</v>
      </c>
      <c r="E7" s="45"/>
      <c r="F7" s="82"/>
      <c r="G7" s="83">
        <f t="shared" si="0"/>
        <v>1.606941519234471E-2</v>
      </c>
      <c r="H7" s="84">
        <f t="shared" si="1"/>
        <v>12.315599803412987</v>
      </c>
      <c r="I7" s="95">
        <f t="shared" si="2"/>
        <v>190.81559980341299</v>
      </c>
      <c r="J7" s="522"/>
      <c r="K7" s="525"/>
      <c r="L7" s="528"/>
    </row>
    <row r="8" spans="1:12" ht="15" x14ac:dyDescent="0.2">
      <c r="A8" s="57">
        <v>5</v>
      </c>
      <c r="B8" s="97" t="s">
        <v>2</v>
      </c>
      <c r="C8" s="43" t="s">
        <v>585</v>
      </c>
      <c r="D8" s="58">
        <f>'שרות התעסוקה'!F20</f>
        <v>645.44000000000005</v>
      </c>
      <c r="E8" s="45"/>
      <c r="F8" s="82"/>
      <c r="G8" s="83">
        <f t="shared" si="0"/>
        <v>5.8105564939758943E-2</v>
      </c>
      <c r="H8" s="84">
        <f t="shared" si="1"/>
        <v>44.532104969831259</v>
      </c>
      <c r="I8" s="95">
        <f t="shared" si="2"/>
        <v>689.97210496983132</v>
      </c>
      <c r="J8" s="114" t="str">
        <f>B8</f>
        <v>שרות התעסוקה</v>
      </c>
      <c r="K8" s="113">
        <f>I8</f>
        <v>689.97210496983132</v>
      </c>
      <c r="L8" s="112">
        <f>SUM('שרות התעסוקה'!E5:E10)+7</f>
        <v>24</v>
      </c>
    </row>
    <row r="9" spans="1:12" ht="15" x14ac:dyDescent="0.2">
      <c r="A9" s="57">
        <v>6</v>
      </c>
      <c r="B9" s="97" t="s">
        <v>582</v>
      </c>
      <c r="C9" s="43" t="s">
        <v>586</v>
      </c>
      <c r="D9" s="58">
        <f>'משרד הרווחה'!D51</f>
        <v>1589.1599999999999</v>
      </c>
      <c r="E9" s="45"/>
      <c r="F9" s="82"/>
      <c r="G9" s="83">
        <f t="shared" si="0"/>
        <v>0.14306370782670319</v>
      </c>
      <c r="H9" s="84">
        <f t="shared" si="1"/>
        <v>109.64402567838533</v>
      </c>
      <c r="I9" s="95">
        <f t="shared" si="2"/>
        <v>1698.8040256783852</v>
      </c>
      <c r="J9" s="114" t="str">
        <f t="shared" ref="J9:J11" si="3">B9</f>
        <v>משרד הרווחה</v>
      </c>
      <c r="K9" s="113">
        <f t="shared" ref="K9:K11" si="4">I9</f>
        <v>1698.8040256783852</v>
      </c>
      <c r="L9" s="112">
        <f>40+22</f>
        <v>62</v>
      </c>
    </row>
    <row r="10" spans="1:12" ht="15" x14ac:dyDescent="0.2">
      <c r="A10" s="57">
        <v>7</v>
      </c>
      <c r="B10" s="97" t="s">
        <v>583</v>
      </c>
      <c r="C10" s="43" t="s">
        <v>584</v>
      </c>
      <c r="D10" s="58">
        <f>'משרד התחבורה רישוי'!H15</f>
        <v>237.83</v>
      </c>
      <c r="E10" s="45"/>
      <c r="F10" s="82"/>
      <c r="G10" s="83">
        <f t="shared" si="0"/>
        <v>2.1410582718181193E-2</v>
      </c>
      <c r="H10" s="84">
        <f t="shared" si="1"/>
        <v>16.409070595214068</v>
      </c>
      <c r="I10" s="95">
        <f t="shared" si="2"/>
        <v>254.23907059521409</v>
      </c>
      <c r="J10" s="114" t="str">
        <f t="shared" si="3"/>
        <v xml:space="preserve">משרד התחבורה </v>
      </c>
      <c r="K10" s="113">
        <f t="shared" si="4"/>
        <v>254.23907059521409</v>
      </c>
      <c r="L10" s="112">
        <f>'משרד התחבורה רישוי'!D13</f>
        <v>6</v>
      </c>
    </row>
    <row r="11" spans="1:12" ht="15" x14ac:dyDescent="0.2">
      <c r="A11" s="57">
        <v>8</v>
      </c>
      <c r="B11" s="97" t="s">
        <v>3</v>
      </c>
      <c r="C11" s="43" t="s">
        <v>25</v>
      </c>
      <c r="D11" s="58">
        <f>'משרד הקליטה'!G17</f>
        <v>252.56000000000006</v>
      </c>
      <c r="E11" s="45"/>
      <c r="F11" s="82"/>
      <c r="G11" s="83">
        <f t="shared" si="0"/>
        <v>2.2736647064305775E-2</v>
      </c>
      <c r="H11" s="84">
        <f t="shared" ref="H11" si="5">$D$12*G11</f>
        <v>17.425366310083948</v>
      </c>
      <c r="I11" s="95">
        <f t="shared" ref="I11" si="6">D11+H11</f>
        <v>269.98536631008403</v>
      </c>
      <c r="J11" s="114" t="str">
        <f t="shared" si="3"/>
        <v>משרד הקליטה</v>
      </c>
      <c r="K11" s="113">
        <f t="shared" si="4"/>
        <v>269.98536631008403</v>
      </c>
      <c r="L11" s="112">
        <v>14</v>
      </c>
    </row>
    <row r="12" spans="1:12" ht="15" thickBot="1" x14ac:dyDescent="0.25">
      <c r="A12" s="59">
        <v>13</v>
      </c>
      <c r="B12" s="60" t="s">
        <v>174</v>
      </c>
      <c r="C12" s="61"/>
      <c r="D12" s="62">
        <f>'מתחם מחלקת ביטחון'!H17+'שטחים משותפים בניינים'!G11</f>
        <v>766.40000000000009</v>
      </c>
      <c r="E12" s="45"/>
      <c r="F12" s="82"/>
      <c r="G12" s="85"/>
      <c r="H12" s="86"/>
      <c r="I12" s="87"/>
      <c r="J12" s="108"/>
      <c r="K12" s="109"/>
      <c r="L12" s="100"/>
    </row>
    <row r="13" spans="1:12" x14ac:dyDescent="0.2">
      <c r="A13" s="2"/>
      <c r="B13" s="2"/>
      <c r="C13" s="2"/>
      <c r="D13" s="2"/>
      <c r="E13" s="2"/>
      <c r="F13" s="88"/>
      <c r="G13" s="89"/>
      <c r="H13" s="89"/>
      <c r="I13" s="87"/>
      <c r="J13" s="108"/>
      <c r="K13" s="109"/>
      <c r="L13" s="101"/>
    </row>
    <row r="14" spans="1:12" ht="15.75" thickBot="1" x14ac:dyDescent="0.3">
      <c r="A14" s="64"/>
      <c r="B14" s="65" t="s">
        <v>21</v>
      </c>
      <c r="C14" s="64"/>
      <c r="D14" s="66">
        <f>SUM(D2:D12)</f>
        <v>11874.45825</v>
      </c>
      <c r="E14" s="49"/>
      <c r="F14" s="90" t="s">
        <v>173</v>
      </c>
      <c r="G14" s="91">
        <f>SUM(G2:G13)</f>
        <v>1</v>
      </c>
      <c r="H14" s="84">
        <f>SUM(H2:H13)</f>
        <v>766.40000000000009</v>
      </c>
      <c r="I14" s="104">
        <f>SUM(I2:I11)</f>
        <v>11874.458249999998</v>
      </c>
      <c r="J14" s="110"/>
      <c r="K14" s="111">
        <f>SUM(K2:K11)</f>
        <v>11874.458250000001</v>
      </c>
      <c r="L14" s="102">
        <f>SUM(L2:L13)</f>
        <v>449</v>
      </c>
    </row>
    <row r="15" spans="1:12" x14ac:dyDescent="0.2">
      <c r="B15" s="50"/>
      <c r="G15" s="51"/>
      <c r="H15" s="52"/>
      <c r="I15" s="53"/>
      <c r="J15" s="53"/>
    </row>
    <row r="16" spans="1:12" x14ac:dyDescent="0.2">
      <c r="B16" s="50" t="s">
        <v>178</v>
      </c>
    </row>
    <row r="17" spans="2:8" x14ac:dyDescent="0.2">
      <c r="B17" s="50" t="s">
        <v>185</v>
      </c>
      <c r="H17" s="46"/>
    </row>
    <row r="18" spans="2:8" ht="14.1" customHeight="1" x14ac:dyDescent="0.2">
      <c r="B18" s="50" t="s">
        <v>112</v>
      </c>
      <c r="C18" s="50"/>
      <c r="D18" s="50"/>
      <c r="E18" s="50"/>
      <c r="F18" s="50"/>
      <c r="G18" s="50"/>
      <c r="H18" s="50"/>
    </row>
    <row r="19" spans="2:8" ht="14.1" customHeight="1" x14ac:dyDescent="0.2">
      <c r="B19" s="50" t="s">
        <v>159</v>
      </c>
      <c r="C19" s="50"/>
      <c r="D19" s="50"/>
      <c r="E19" s="50"/>
      <c r="F19" s="50"/>
      <c r="G19" s="50"/>
      <c r="H19" s="50"/>
    </row>
    <row r="20" spans="2:8" x14ac:dyDescent="0.2">
      <c r="D20" s="74"/>
    </row>
  </sheetData>
  <mergeCells count="3">
    <mergeCell ref="J5:J7"/>
    <mergeCell ref="K5:K7"/>
    <mergeCell ref="L5:L7"/>
  </mergeCells>
  <phoneticPr fontId="32" type="noConversion"/>
  <pageMargins left="0.7" right="0.7" top="0.75" bottom="0.75" header="0.3" footer="0.3"/>
  <pageSetup paperSize="9" scale="5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rightToLeft="1" view="pageBreakPreview" zoomScale="80" zoomScaleNormal="85" zoomScaleSheetLayoutView="80" workbookViewId="0">
      <selection activeCell="I1" sqref="I1"/>
    </sheetView>
  </sheetViews>
  <sheetFormatPr defaultColWidth="8.625" defaultRowHeight="14.25" x14ac:dyDescent="0.2"/>
  <cols>
    <col min="1" max="1" width="30.375" style="2" bestFit="1" customWidth="1"/>
    <col min="2" max="2" width="36.125" style="2" bestFit="1" customWidth="1"/>
    <col min="3" max="4" width="10.5" style="2" customWidth="1"/>
    <col min="5" max="5" width="8.875" style="2" bestFit="1" customWidth="1"/>
    <col min="6" max="6" width="9.625" style="2" customWidth="1"/>
    <col min="7" max="7" width="11.625" style="37" customWidth="1"/>
    <col min="8" max="8" width="12.125" style="37" bestFit="1" customWidth="1"/>
    <col min="9" max="9" width="60.125" style="2" bestFit="1" customWidth="1"/>
    <col min="10" max="15" width="8.875" style="2" bestFit="1" customWidth="1"/>
    <col min="16" max="16" width="9.875" style="2" bestFit="1" customWidth="1"/>
    <col min="17" max="16384" width="8.625" style="2"/>
  </cols>
  <sheetData>
    <row r="1" spans="1:24" ht="15" x14ac:dyDescent="0.25">
      <c r="A1" s="470" t="s">
        <v>567</v>
      </c>
      <c r="B1" s="36"/>
      <c r="C1" s="23"/>
      <c r="D1" s="23"/>
      <c r="E1" s="23"/>
      <c r="F1" s="26"/>
      <c r="G1" s="31"/>
      <c r="H1" s="31"/>
      <c r="I1" s="35"/>
    </row>
    <row r="2" spans="1:24" ht="45" x14ac:dyDescent="0.2">
      <c r="A2" s="117" t="s">
        <v>5</v>
      </c>
      <c r="B2" s="27" t="s">
        <v>6</v>
      </c>
      <c r="C2" s="28" t="s">
        <v>7</v>
      </c>
      <c r="D2" s="28" t="s">
        <v>32</v>
      </c>
      <c r="E2" s="117" t="s">
        <v>8</v>
      </c>
      <c r="F2" s="29" t="s">
        <v>109</v>
      </c>
      <c r="G2" s="29" t="s">
        <v>9</v>
      </c>
      <c r="H2" s="30" t="s">
        <v>10</v>
      </c>
      <c r="I2" s="30" t="s">
        <v>11</v>
      </c>
    </row>
    <row r="3" spans="1:24" x14ac:dyDescent="0.2">
      <c r="A3" s="626" t="s">
        <v>568</v>
      </c>
      <c r="B3" s="12" t="s">
        <v>553</v>
      </c>
      <c r="C3" s="12">
        <v>1</v>
      </c>
      <c r="D3" s="12">
        <v>1</v>
      </c>
      <c r="E3" s="12"/>
      <c r="F3" s="12" t="s">
        <v>27</v>
      </c>
      <c r="G3" s="118">
        <v>9.9</v>
      </c>
      <c r="H3" s="119">
        <f t="shared" ref="H3:H12" si="0">G3*C3</f>
        <v>9.9</v>
      </c>
      <c r="I3" s="12"/>
    </row>
    <row r="4" spans="1:24" x14ac:dyDescent="0.2">
      <c r="A4" s="627"/>
      <c r="B4" s="12" t="s">
        <v>133</v>
      </c>
      <c r="C4" s="12">
        <v>1</v>
      </c>
      <c r="D4" s="12"/>
      <c r="E4" s="12">
        <v>4</v>
      </c>
      <c r="F4" s="12" t="s">
        <v>28</v>
      </c>
      <c r="G4" s="118">
        <v>10</v>
      </c>
      <c r="H4" s="119">
        <f t="shared" si="0"/>
        <v>10</v>
      </c>
      <c r="I4" s="12"/>
    </row>
    <row r="5" spans="1:24" ht="15" x14ac:dyDescent="0.2">
      <c r="A5" s="38"/>
      <c r="B5" s="24"/>
      <c r="C5" s="24"/>
      <c r="D5" s="24"/>
      <c r="E5" s="24"/>
      <c r="F5" s="24"/>
      <c r="G5" s="24"/>
      <c r="H5" s="41">
        <f>SUM(H3:H4)</f>
        <v>19.899999999999999</v>
      </c>
      <c r="I5" s="24"/>
    </row>
    <row r="6" spans="1:24" x14ac:dyDescent="0.2">
      <c r="A6" s="626" t="s">
        <v>568</v>
      </c>
      <c r="B6" s="12" t="s">
        <v>570</v>
      </c>
      <c r="C6" s="12">
        <v>5</v>
      </c>
      <c r="D6" s="12">
        <v>5</v>
      </c>
      <c r="E6" s="12"/>
      <c r="F6" s="12" t="s">
        <v>28</v>
      </c>
      <c r="G6" s="118">
        <v>5</v>
      </c>
      <c r="H6" s="119">
        <f t="shared" si="0"/>
        <v>25</v>
      </c>
      <c r="I6" s="12"/>
    </row>
    <row r="7" spans="1:24" x14ac:dyDescent="0.2">
      <c r="A7" s="627"/>
      <c r="B7" s="12" t="s">
        <v>571</v>
      </c>
      <c r="C7" s="12">
        <v>1</v>
      </c>
      <c r="D7" s="12"/>
      <c r="E7" s="12"/>
      <c r="F7" s="12" t="s">
        <v>28</v>
      </c>
      <c r="G7" s="118">
        <v>50</v>
      </c>
      <c r="H7" s="119">
        <f t="shared" si="0"/>
        <v>50</v>
      </c>
      <c r="I7" s="12"/>
    </row>
    <row r="8" spans="1:24" ht="15" x14ac:dyDescent="0.2">
      <c r="A8" s="38"/>
      <c r="B8" s="24"/>
      <c r="C8" s="24"/>
      <c r="D8" s="24"/>
      <c r="E8" s="24"/>
      <c r="F8" s="24"/>
      <c r="G8" s="24"/>
      <c r="H8" s="41">
        <f>SUM(H6:H7)</f>
        <v>75</v>
      </c>
      <c r="I8" s="24"/>
    </row>
    <row r="9" spans="1:24" x14ac:dyDescent="0.2">
      <c r="A9" s="626" t="s">
        <v>569</v>
      </c>
      <c r="B9" s="12" t="s">
        <v>572</v>
      </c>
      <c r="C9" s="12">
        <v>1</v>
      </c>
      <c r="D9" s="12"/>
      <c r="E9" s="12"/>
      <c r="F9" s="12" t="s">
        <v>27</v>
      </c>
      <c r="G9" s="118">
        <v>10</v>
      </c>
      <c r="H9" s="119">
        <f t="shared" si="0"/>
        <v>10</v>
      </c>
      <c r="I9" s="12"/>
    </row>
    <row r="10" spans="1:24" x14ac:dyDescent="0.2">
      <c r="A10" s="627"/>
      <c r="B10" s="12" t="s">
        <v>573</v>
      </c>
      <c r="C10" s="12">
        <v>1</v>
      </c>
      <c r="D10" s="12"/>
      <c r="E10" s="12"/>
      <c r="F10" s="12"/>
      <c r="G10" s="118">
        <v>12</v>
      </c>
      <c r="H10" s="119">
        <f t="shared" si="0"/>
        <v>12</v>
      </c>
      <c r="I10" s="12"/>
    </row>
    <row r="11" spans="1:24" x14ac:dyDescent="0.2">
      <c r="A11" s="627"/>
      <c r="B11" s="12" t="s">
        <v>574</v>
      </c>
      <c r="C11" s="12">
        <v>1</v>
      </c>
      <c r="D11" s="12"/>
      <c r="E11" s="12"/>
      <c r="F11" s="12" t="s">
        <v>27</v>
      </c>
      <c r="G11" s="118">
        <v>18</v>
      </c>
      <c r="H11" s="119">
        <f t="shared" si="0"/>
        <v>18</v>
      </c>
      <c r="I11" s="12"/>
    </row>
    <row r="12" spans="1:24" x14ac:dyDescent="0.2">
      <c r="A12" s="628"/>
      <c r="B12" s="2" t="s">
        <v>575</v>
      </c>
      <c r="C12" s="2">
        <v>1</v>
      </c>
      <c r="F12" s="2" t="s">
        <v>27</v>
      </c>
      <c r="G12" s="37">
        <v>5</v>
      </c>
      <c r="H12" s="42">
        <f t="shared" si="0"/>
        <v>5</v>
      </c>
    </row>
    <row r="13" spans="1:24" ht="15" x14ac:dyDescent="0.2">
      <c r="A13" s="38" t="s">
        <v>33</v>
      </c>
      <c r="B13" s="24"/>
      <c r="C13" s="24">
        <f>SUM(C3:C12)</f>
        <v>12</v>
      </c>
      <c r="D13" s="24">
        <f>SUM(D3:D12)</f>
        <v>6</v>
      </c>
      <c r="E13" s="24"/>
      <c r="F13" s="24"/>
      <c r="G13" s="24"/>
      <c r="H13" s="39">
        <f>SUM(H9:H12)</f>
        <v>45</v>
      </c>
      <c r="I13" s="24"/>
    </row>
    <row r="14" spans="1:24" ht="15" x14ac:dyDescent="0.2">
      <c r="A14" s="32" t="s">
        <v>20</v>
      </c>
      <c r="B14" s="25"/>
      <c r="C14" s="25"/>
      <c r="D14" s="25"/>
      <c r="E14" s="25"/>
      <c r="F14" s="25"/>
      <c r="G14" s="32"/>
      <c r="H14" s="34">
        <f>H13+H8+H5</f>
        <v>139.9</v>
      </c>
      <c r="I14" s="25"/>
    </row>
    <row r="15" spans="1:24" ht="15.75" x14ac:dyDescent="0.2">
      <c r="A15" s="32" t="s">
        <v>21</v>
      </c>
      <c r="B15" s="25"/>
      <c r="C15" s="25"/>
      <c r="D15" s="25"/>
      <c r="E15" s="25"/>
      <c r="F15" s="25"/>
      <c r="G15" s="32">
        <v>1.7</v>
      </c>
      <c r="H15" s="40">
        <f>H14*G15</f>
        <v>237.83</v>
      </c>
      <c r="I15" s="25"/>
      <c r="L15" s="480"/>
      <c r="M15" s="473"/>
      <c r="N15" s="473"/>
      <c r="O15" s="479"/>
      <c r="P15" s="479"/>
      <c r="Q15" s="479"/>
      <c r="R15" s="479"/>
      <c r="S15" s="479"/>
      <c r="T15" s="481"/>
      <c r="U15" s="481"/>
      <c r="V15" s="481"/>
      <c r="W15" s="482"/>
      <c r="X15" s="482"/>
    </row>
    <row r="16" spans="1:24" x14ac:dyDescent="0.2">
      <c r="G16" s="2"/>
      <c r="H16" s="2"/>
    </row>
    <row r="17" spans="2:24" x14ac:dyDescent="0.2">
      <c r="G17" s="2"/>
      <c r="H17" s="2"/>
      <c r="I17" s="471"/>
    </row>
    <row r="19" spans="2:24" ht="15.75" x14ac:dyDescent="0.2">
      <c r="B19" s="472"/>
      <c r="C19" s="472"/>
      <c r="D19" s="472"/>
      <c r="E19" s="472"/>
      <c r="F19" s="472"/>
      <c r="G19" s="472"/>
      <c r="H19" s="472"/>
      <c r="L19" s="473"/>
      <c r="M19" s="474"/>
      <c r="N19" s="474"/>
      <c r="O19" s="474"/>
      <c r="P19" s="474"/>
      <c r="Q19" s="475"/>
      <c r="R19" s="475"/>
      <c r="S19" s="474"/>
      <c r="T19" s="474"/>
      <c r="U19" s="476"/>
      <c r="V19" s="475"/>
      <c r="W19" s="477"/>
      <c r="X19" s="478"/>
    </row>
    <row r="21" spans="2:24" ht="15.6" customHeight="1" x14ac:dyDescent="0.2">
      <c r="L21" s="480"/>
      <c r="M21" s="473"/>
      <c r="N21" s="473"/>
      <c r="O21" s="479"/>
      <c r="P21" s="483"/>
      <c r="Q21" s="483"/>
      <c r="R21" s="483"/>
      <c r="S21" s="479"/>
      <c r="T21" s="484"/>
      <c r="U21" s="484"/>
      <c r="V21" s="484"/>
      <c r="W21" s="482"/>
      <c r="X21" s="482"/>
    </row>
    <row r="22" spans="2:24" ht="14.1" customHeight="1" x14ac:dyDescent="0.2">
      <c r="L22" s="480"/>
      <c r="M22" s="482"/>
      <c r="N22" s="482"/>
      <c r="O22" s="482"/>
      <c r="P22" s="483"/>
      <c r="Q22" s="483"/>
      <c r="R22" s="483"/>
      <c r="S22" s="482"/>
      <c r="T22" s="482"/>
      <c r="U22" s="482"/>
      <c r="V22" s="482"/>
      <c r="W22" s="482"/>
      <c r="X22" s="482"/>
    </row>
  </sheetData>
  <mergeCells count="3">
    <mergeCell ref="A9:A12"/>
    <mergeCell ref="A3:A4"/>
    <mergeCell ref="A6:A7"/>
  </mergeCells>
  <pageMargins left="0.7" right="0.7" top="0.75" bottom="0.75" header="0.3" footer="0.3"/>
  <pageSetup scale="3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G17"/>
  <sheetViews>
    <sheetView rightToLeft="1" workbookViewId="0">
      <selection activeCell="B7" sqref="B7"/>
    </sheetView>
  </sheetViews>
  <sheetFormatPr defaultColWidth="9" defaultRowHeight="14.25" x14ac:dyDescent="0.2"/>
  <cols>
    <col min="1" max="3" width="9" style="454"/>
    <col min="4" max="4" width="11.875" style="454" customWidth="1"/>
    <col min="5" max="5" width="12.25" style="454" customWidth="1"/>
    <col min="6" max="6" width="13" style="454" customWidth="1"/>
    <col min="7" max="7" width="16.75" style="454" customWidth="1"/>
    <col min="8" max="16384" width="9" style="454"/>
  </cols>
  <sheetData>
    <row r="2" spans="4:7" ht="2.25" customHeight="1" x14ac:dyDescent="0.2"/>
    <row r="3" spans="4:7" ht="24.75" customHeight="1" x14ac:dyDescent="0.2">
      <c r="D3" s="629" t="s">
        <v>490</v>
      </c>
      <c r="E3" s="629"/>
      <c r="F3" s="629"/>
      <c r="G3" s="629"/>
    </row>
    <row r="6" spans="4:7" ht="15" x14ac:dyDescent="0.2">
      <c r="D6" s="519" t="s">
        <v>6</v>
      </c>
      <c r="E6" s="519" t="s">
        <v>491</v>
      </c>
      <c r="F6" s="519" t="s">
        <v>492</v>
      </c>
      <c r="G6" s="519" t="s">
        <v>493</v>
      </c>
    </row>
    <row r="7" spans="4:7" ht="30" x14ac:dyDescent="0.2">
      <c r="D7" s="515" t="s">
        <v>23</v>
      </c>
      <c r="E7" s="516">
        <v>13.3</v>
      </c>
      <c r="F7" s="516">
        <v>1</v>
      </c>
      <c r="G7" s="516">
        <f>E7*F7</f>
        <v>13.3</v>
      </c>
    </row>
    <row r="8" spans="4:7" ht="30" x14ac:dyDescent="0.2">
      <c r="D8" s="515" t="s">
        <v>494</v>
      </c>
      <c r="E8" s="516">
        <v>10.7</v>
      </c>
      <c r="F8" s="516">
        <v>1</v>
      </c>
      <c r="G8" s="516">
        <f t="shared" ref="G8:G15" si="0">E8*F8</f>
        <v>10.7</v>
      </c>
    </row>
    <row r="9" spans="4:7" ht="30" x14ac:dyDescent="0.2">
      <c r="D9" s="515" t="s">
        <v>495</v>
      </c>
      <c r="E9" s="516">
        <v>6.65</v>
      </c>
      <c r="F9" s="516">
        <v>9</v>
      </c>
      <c r="G9" s="516">
        <f t="shared" si="0"/>
        <v>59.85</v>
      </c>
    </row>
    <row r="10" spans="4:7" ht="23.25" customHeight="1" x14ac:dyDescent="0.2">
      <c r="D10" s="515" t="s">
        <v>496</v>
      </c>
      <c r="E10" s="516">
        <v>6.65</v>
      </c>
      <c r="F10" s="516">
        <v>1</v>
      </c>
      <c r="G10" s="516">
        <f t="shared" si="0"/>
        <v>6.65</v>
      </c>
    </row>
    <row r="11" spans="4:7" ht="20.25" customHeight="1" x14ac:dyDescent="0.2">
      <c r="D11" s="515" t="s">
        <v>497</v>
      </c>
      <c r="E11" s="516">
        <v>6.65</v>
      </c>
      <c r="F11" s="516">
        <v>1</v>
      </c>
      <c r="G11" s="516">
        <f t="shared" si="0"/>
        <v>6.65</v>
      </c>
    </row>
    <row r="12" spans="4:7" ht="25.5" customHeight="1" x14ac:dyDescent="0.2">
      <c r="D12" s="515" t="s">
        <v>330</v>
      </c>
      <c r="E12" s="516">
        <v>10.7</v>
      </c>
      <c r="F12" s="516">
        <v>1</v>
      </c>
      <c r="G12" s="516">
        <f t="shared" si="0"/>
        <v>10.7</v>
      </c>
    </row>
    <row r="13" spans="4:7" ht="30" x14ac:dyDescent="0.2">
      <c r="D13" s="515" t="s">
        <v>24</v>
      </c>
      <c r="E13" s="516">
        <v>30</v>
      </c>
      <c r="F13" s="516">
        <v>1</v>
      </c>
      <c r="G13" s="516">
        <f t="shared" si="0"/>
        <v>30</v>
      </c>
    </row>
    <row r="14" spans="4:7" ht="32.25" customHeight="1" x14ac:dyDescent="0.2">
      <c r="D14" s="515" t="s">
        <v>498</v>
      </c>
      <c r="E14" s="516">
        <v>6</v>
      </c>
      <c r="F14" s="516">
        <v>1</v>
      </c>
      <c r="G14" s="516">
        <f t="shared" si="0"/>
        <v>6</v>
      </c>
    </row>
    <row r="15" spans="4:7" ht="45" x14ac:dyDescent="0.2">
      <c r="D15" s="116" t="s">
        <v>499</v>
      </c>
      <c r="E15" s="455">
        <v>14</v>
      </c>
      <c r="F15" s="455">
        <v>1</v>
      </c>
      <c r="G15" s="455">
        <f t="shared" si="0"/>
        <v>14</v>
      </c>
    </row>
    <row r="16" spans="4:7" ht="30" x14ac:dyDescent="0.2">
      <c r="D16" s="518" t="s">
        <v>500</v>
      </c>
      <c r="E16" s="518"/>
      <c r="F16" s="518"/>
      <c r="G16" s="518">
        <f>SUM(G7:G15)</f>
        <v>157.85000000000002</v>
      </c>
    </row>
    <row r="17" spans="4:7" ht="30" x14ac:dyDescent="0.2">
      <c r="D17" s="517" t="s">
        <v>501</v>
      </c>
      <c r="E17" s="517"/>
      <c r="F17" s="517"/>
      <c r="G17" s="517">
        <f>G16*1.6</f>
        <v>252.56000000000006</v>
      </c>
    </row>
  </sheetData>
  <mergeCells count="1">
    <mergeCell ref="D3:G3"/>
  </mergeCells>
  <pageMargins left="0.7" right="0.7" top="0.75" bottom="0.75" header="0.3" footer="0.3"/>
  <pageSetup paperSize="9" scale="9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rightToLeft="1" zoomScaleNormal="100" workbookViewId="0">
      <selection activeCell="B14" sqref="B14"/>
    </sheetView>
  </sheetViews>
  <sheetFormatPr defaultRowHeight="14.25" x14ac:dyDescent="0.2"/>
  <cols>
    <col min="1" max="1" width="16.5" bestFit="1" customWidth="1"/>
    <col min="2" max="2" width="24.5" customWidth="1"/>
    <col min="9" max="9" width="9.5" customWidth="1"/>
  </cols>
  <sheetData>
    <row r="1" spans="1:9" ht="15.6" customHeight="1" x14ac:dyDescent="0.2">
      <c r="A1" s="11" t="s">
        <v>160</v>
      </c>
      <c r="B1" s="11"/>
      <c r="C1" s="11"/>
      <c r="D1" s="11"/>
      <c r="E1" s="11"/>
      <c r="F1" s="11"/>
      <c r="G1" s="11"/>
      <c r="H1" s="11"/>
      <c r="I1" s="11"/>
    </row>
    <row r="2" spans="1:9" ht="45" x14ac:dyDescent="0.2">
      <c r="A2" s="3" t="s">
        <v>5</v>
      </c>
      <c r="B2" s="4" t="s">
        <v>6</v>
      </c>
      <c r="C2" s="3" t="s">
        <v>7</v>
      </c>
      <c r="D2" s="3" t="s">
        <v>32</v>
      </c>
      <c r="E2" s="3" t="s">
        <v>8</v>
      </c>
      <c r="F2" s="3" t="s">
        <v>26</v>
      </c>
      <c r="G2" s="5" t="s">
        <v>9</v>
      </c>
      <c r="H2" s="5" t="s">
        <v>10</v>
      </c>
      <c r="I2" s="6" t="s">
        <v>11</v>
      </c>
    </row>
    <row r="3" spans="1:9" x14ac:dyDescent="0.2">
      <c r="A3" s="630" t="s">
        <v>162</v>
      </c>
      <c r="B3" s="22" t="s">
        <v>161</v>
      </c>
      <c r="C3" s="22">
        <v>1</v>
      </c>
      <c r="D3" s="70">
        <v>1</v>
      </c>
      <c r="E3" s="12"/>
      <c r="F3" s="12"/>
      <c r="G3" s="22">
        <v>9.9</v>
      </c>
      <c r="H3" s="13">
        <f t="shared" ref="H3:H14" si="0">G3*C3</f>
        <v>9.9</v>
      </c>
      <c r="I3" s="12"/>
    </row>
    <row r="4" spans="1:9" x14ac:dyDescent="0.2">
      <c r="A4" s="630"/>
      <c r="B4" s="72" t="s">
        <v>184</v>
      </c>
      <c r="C4" s="72">
        <v>1</v>
      </c>
      <c r="D4" s="72">
        <v>1</v>
      </c>
      <c r="E4" s="12"/>
      <c r="F4" s="12"/>
      <c r="G4" s="72">
        <v>6.4</v>
      </c>
      <c r="H4" s="73">
        <f t="shared" si="0"/>
        <v>6.4</v>
      </c>
      <c r="I4" s="12"/>
    </row>
    <row r="5" spans="1:9" x14ac:dyDescent="0.2">
      <c r="A5" s="630"/>
      <c r="B5" s="22" t="s">
        <v>141</v>
      </c>
      <c r="C5" s="22">
        <v>1</v>
      </c>
      <c r="D5" s="70">
        <v>1</v>
      </c>
      <c r="E5" s="12"/>
      <c r="F5" s="12"/>
      <c r="G5" s="22">
        <v>6.4</v>
      </c>
      <c r="H5" s="13">
        <f t="shared" si="0"/>
        <v>6.4</v>
      </c>
      <c r="I5" s="12"/>
    </row>
    <row r="6" spans="1:9" x14ac:dyDescent="0.2">
      <c r="A6" s="630"/>
      <c r="B6" s="22" t="s">
        <v>19</v>
      </c>
      <c r="C6" s="22">
        <v>1</v>
      </c>
      <c r="D6" s="70"/>
      <c r="E6" s="12"/>
      <c r="F6" s="12"/>
      <c r="G6" s="22">
        <v>10</v>
      </c>
      <c r="H6" s="13">
        <f t="shared" si="0"/>
        <v>10</v>
      </c>
      <c r="I6" s="12"/>
    </row>
    <row r="7" spans="1:9" x14ac:dyDescent="0.2">
      <c r="A7" s="630"/>
      <c r="B7" s="22" t="s">
        <v>163</v>
      </c>
      <c r="C7" s="22">
        <v>1</v>
      </c>
      <c r="D7" s="70"/>
      <c r="E7" s="12"/>
      <c r="F7" s="12"/>
      <c r="G7" s="22">
        <v>10</v>
      </c>
      <c r="H7" s="13">
        <f t="shared" si="0"/>
        <v>10</v>
      </c>
      <c r="I7" s="12"/>
    </row>
    <row r="8" spans="1:9" x14ac:dyDescent="0.2">
      <c r="A8" s="630"/>
      <c r="B8" s="70" t="s">
        <v>181</v>
      </c>
      <c r="C8" s="70">
        <v>1</v>
      </c>
      <c r="D8" s="70"/>
      <c r="E8" s="12"/>
      <c r="F8" s="12"/>
      <c r="G8" s="70">
        <v>6</v>
      </c>
      <c r="H8" s="71">
        <f t="shared" si="0"/>
        <v>6</v>
      </c>
      <c r="I8" s="12"/>
    </row>
    <row r="9" spans="1:9" x14ac:dyDescent="0.2">
      <c r="A9" s="630"/>
      <c r="B9" s="22" t="s">
        <v>164</v>
      </c>
      <c r="C9" s="22">
        <v>1</v>
      </c>
      <c r="D9" s="70"/>
      <c r="E9" s="12"/>
      <c r="F9" s="12"/>
      <c r="G9" s="22">
        <v>20</v>
      </c>
      <c r="H9" s="13">
        <f t="shared" si="0"/>
        <v>20</v>
      </c>
      <c r="I9" s="12"/>
    </row>
    <row r="10" spans="1:9" x14ac:dyDescent="0.2">
      <c r="A10" s="630"/>
      <c r="B10" s="22" t="s">
        <v>31</v>
      </c>
      <c r="C10" s="22">
        <v>1</v>
      </c>
      <c r="D10" s="70"/>
      <c r="E10" s="12"/>
      <c r="F10" s="12"/>
      <c r="G10" s="22">
        <v>7</v>
      </c>
      <c r="H10" s="13">
        <v>0</v>
      </c>
      <c r="I10" s="12" t="s">
        <v>237</v>
      </c>
    </row>
    <row r="11" spans="1:9" x14ac:dyDescent="0.2">
      <c r="A11" s="630"/>
      <c r="B11" s="22" t="s">
        <v>17</v>
      </c>
      <c r="C11" s="22">
        <v>1</v>
      </c>
      <c r="D11" s="70"/>
      <c r="E11" s="12"/>
      <c r="F11" s="12"/>
      <c r="G11" s="22">
        <v>5</v>
      </c>
      <c r="H11" s="13">
        <f t="shared" si="0"/>
        <v>5</v>
      </c>
      <c r="I11" s="12"/>
    </row>
    <row r="12" spans="1:9" x14ac:dyDescent="0.2">
      <c r="A12" s="630"/>
      <c r="B12" s="22" t="s">
        <v>165</v>
      </c>
      <c r="C12" s="22">
        <v>1</v>
      </c>
      <c r="D12" s="70"/>
      <c r="E12" s="12"/>
      <c r="F12" s="12"/>
      <c r="G12" s="22">
        <v>25</v>
      </c>
      <c r="H12" s="13">
        <f t="shared" si="0"/>
        <v>25</v>
      </c>
      <c r="I12" s="12"/>
    </row>
    <row r="13" spans="1:9" x14ac:dyDescent="0.2">
      <c r="A13" s="630"/>
      <c r="B13" s="22" t="s">
        <v>166</v>
      </c>
      <c r="C13" s="22">
        <v>1</v>
      </c>
      <c r="D13" s="70"/>
      <c r="E13" s="12"/>
      <c r="F13" s="12"/>
      <c r="G13" s="22">
        <v>15.4</v>
      </c>
      <c r="H13" s="13">
        <f t="shared" si="0"/>
        <v>15.4</v>
      </c>
      <c r="I13" s="12" t="s">
        <v>182</v>
      </c>
    </row>
    <row r="14" spans="1:9" x14ac:dyDescent="0.2">
      <c r="A14" s="630"/>
      <c r="B14" s="22" t="s">
        <v>167</v>
      </c>
      <c r="C14" s="22">
        <v>1</v>
      </c>
      <c r="D14" s="70"/>
      <c r="E14" s="12"/>
      <c r="F14" s="12"/>
      <c r="G14" s="22">
        <v>20</v>
      </c>
      <c r="H14" s="13">
        <f t="shared" si="0"/>
        <v>20</v>
      </c>
      <c r="I14" s="12"/>
    </row>
    <row r="15" spans="1:9" x14ac:dyDescent="0.2">
      <c r="A15" s="14" t="s">
        <v>14</v>
      </c>
      <c r="B15" s="15"/>
      <c r="C15" s="16">
        <f>SUBTOTAL(9,C6:C14)</f>
        <v>9</v>
      </c>
      <c r="D15" s="16">
        <f>SUM(D3:D14)</f>
        <v>3</v>
      </c>
      <c r="E15" s="16"/>
      <c r="F15" s="16"/>
      <c r="G15" s="16"/>
      <c r="H15" s="16">
        <f>SUBTOTAL(9,H3:H14)</f>
        <v>134.10000000000002</v>
      </c>
      <c r="I15" s="17"/>
    </row>
    <row r="16" spans="1:9" x14ac:dyDescent="0.2">
      <c r="A16" s="18" t="s">
        <v>20</v>
      </c>
      <c r="B16" s="19"/>
      <c r="C16" s="18"/>
      <c r="D16" s="18"/>
      <c r="E16" s="18"/>
      <c r="F16" s="18"/>
      <c r="G16" s="18"/>
      <c r="H16" s="20">
        <f>H15</f>
        <v>134.10000000000002</v>
      </c>
      <c r="I16" s="21"/>
    </row>
    <row r="17" spans="1:9" ht="15" x14ac:dyDescent="0.2">
      <c r="A17" s="7" t="s">
        <v>21</v>
      </c>
      <c r="B17" s="8"/>
      <c r="C17" s="7"/>
      <c r="D17" s="7"/>
      <c r="E17" s="7"/>
      <c r="F17" s="7"/>
      <c r="G17" s="18">
        <v>1.6</v>
      </c>
      <c r="H17" s="10">
        <f>H16*G17</f>
        <v>214.56000000000006</v>
      </c>
      <c r="I17" s="9"/>
    </row>
  </sheetData>
  <mergeCells count="1">
    <mergeCell ref="A3:A14"/>
  </mergeCells>
  <pageMargins left="0.7" right="0.7" top="0.75" bottom="0.75" header="0.3" footer="0.3"/>
  <pageSetup scale="81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rightToLeft="1" tabSelected="1" zoomScale="115" zoomScaleNormal="115" workbookViewId="0">
      <selection activeCell="L10" sqref="L10"/>
    </sheetView>
  </sheetViews>
  <sheetFormatPr defaultRowHeight="14.25" x14ac:dyDescent="0.2"/>
  <cols>
    <col min="1" max="1" width="16.5" bestFit="1" customWidth="1"/>
    <col min="2" max="2" width="26.125" customWidth="1"/>
    <col min="8" max="8" width="32" bestFit="1" customWidth="1"/>
  </cols>
  <sheetData>
    <row r="1" spans="1:8" ht="15.6" customHeight="1" x14ac:dyDescent="0.2">
      <c r="A1" s="11" t="s">
        <v>168</v>
      </c>
      <c r="B1" s="11"/>
      <c r="C1" s="11"/>
      <c r="D1" s="11"/>
      <c r="E1" s="11"/>
      <c r="F1" s="11"/>
      <c r="G1" s="11"/>
      <c r="H1" s="11"/>
    </row>
    <row r="2" spans="1:8" ht="45" x14ac:dyDescent="0.2">
      <c r="A2" s="3" t="s">
        <v>5</v>
      </c>
      <c r="B2" s="4" t="s">
        <v>6</v>
      </c>
      <c r="C2" s="3" t="s">
        <v>7</v>
      </c>
      <c r="D2" s="3" t="s">
        <v>8</v>
      </c>
      <c r="E2" s="3" t="s">
        <v>26</v>
      </c>
      <c r="F2" s="5" t="s">
        <v>9</v>
      </c>
      <c r="G2" s="5" t="s">
        <v>10</v>
      </c>
      <c r="H2" s="6" t="s">
        <v>11</v>
      </c>
    </row>
    <row r="3" spans="1:8" ht="14.1" customHeight="1" x14ac:dyDescent="0.2">
      <c r="A3" s="632"/>
      <c r="B3" s="22" t="s">
        <v>106</v>
      </c>
      <c r="C3" s="22">
        <v>1</v>
      </c>
      <c r="D3" s="12"/>
      <c r="E3" s="12"/>
      <c r="F3" s="22">
        <v>25</v>
      </c>
      <c r="G3" s="13">
        <f t="shared" ref="G3:G8" si="0">F3*C3</f>
        <v>25</v>
      </c>
      <c r="H3" s="12"/>
    </row>
    <row r="4" spans="1:8" x14ac:dyDescent="0.2">
      <c r="A4" s="632"/>
      <c r="B4" s="22" t="s">
        <v>169</v>
      </c>
      <c r="C4" s="22">
        <v>1</v>
      </c>
      <c r="D4" s="12"/>
      <c r="E4" s="12"/>
      <c r="F4" s="22">
        <v>0</v>
      </c>
      <c r="G4" s="13">
        <f t="shared" si="0"/>
        <v>0</v>
      </c>
      <c r="H4" s="12" t="s">
        <v>587</v>
      </c>
    </row>
    <row r="5" spans="1:8" x14ac:dyDescent="0.2">
      <c r="A5" s="632"/>
      <c r="B5" s="22" t="s">
        <v>183</v>
      </c>
      <c r="C5" s="22">
        <v>1</v>
      </c>
      <c r="D5" s="12"/>
      <c r="E5" s="12"/>
      <c r="F5" s="22">
        <v>230</v>
      </c>
      <c r="G5" s="13">
        <f t="shared" si="0"/>
        <v>230</v>
      </c>
      <c r="H5" s="75" t="s">
        <v>186</v>
      </c>
    </row>
    <row r="6" spans="1:8" ht="28.5" x14ac:dyDescent="0.2">
      <c r="A6" s="632"/>
      <c r="B6" s="44" t="s">
        <v>180</v>
      </c>
      <c r="C6" s="44">
        <v>1</v>
      </c>
      <c r="D6" s="12"/>
      <c r="E6" s="12"/>
      <c r="F6" s="44">
        <v>50</v>
      </c>
      <c r="G6" s="68">
        <f t="shared" si="0"/>
        <v>50</v>
      </c>
      <c r="H6" s="12"/>
    </row>
    <row r="7" spans="1:8" x14ac:dyDescent="0.2">
      <c r="A7" s="632"/>
      <c r="B7" s="67" t="s">
        <v>177</v>
      </c>
      <c r="C7" s="67">
        <v>6</v>
      </c>
      <c r="D7" s="12"/>
      <c r="E7" s="12"/>
      <c r="F7" s="67">
        <v>5</v>
      </c>
      <c r="G7" s="69">
        <f t="shared" si="0"/>
        <v>30</v>
      </c>
      <c r="H7" s="12"/>
    </row>
    <row r="8" spans="1:8" x14ac:dyDescent="0.2">
      <c r="A8" s="633"/>
      <c r="B8" s="47" t="s">
        <v>148</v>
      </c>
      <c r="C8" s="47">
        <v>1</v>
      </c>
      <c r="D8" s="12"/>
      <c r="E8" s="12"/>
      <c r="F8" s="47">
        <v>9.9</v>
      </c>
      <c r="G8" s="48">
        <f t="shared" si="0"/>
        <v>9.9</v>
      </c>
      <c r="H8" s="12"/>
    </row>
    <row r="9" spans="1:8" x14ac:dyDescent="0.2">
      <c r="A9" s="14" t="s">
        <v>14</v>
      </c>
      <c r="B9" s="15"/>
      <c r="C9" s="16">
        <f>SUBTOTAL(9,C5:C5)</f>
        <v>1</v>
      </c>
      <c r="D9" s="16"/>
      <c r="E9" s="16"/>
      <c r="F9" s="16"/>
      <c r="G9" s="16">
        <f>SUBTOTAL(9,G3:G8)</f>
        <v>344.9</v>
      </c>
      <c r="H9" s="17"/>
    </row>
    <row r="10" spans="1:8" x14ac:dyDescent="0.2">
      <c r="A10" s="18" t="s">
        <v>20</v>
      </c>
      <c r="B10" s="19"/>
      <c r="C10" s="18"/>
      <c r="D10" s="18"/>
      <c r="E10" s="18"/>
      <c r="F10" s="18"/>
      <c r="G10" s="20">
        <f>G9</f>
        <v>344.9</v>
      </c>
      <c r="H10" s="21"/>
    </row>
    <row r="11" spans="1:8" ht="15" x14ac:dyDescent="0.2">
      <c r="A11" s="7" t="s">
        <v>21</v>
      </c>
      <c r="B11" s="8"/>
      <c r="C11" s="7"/>
      <c r="D11" s="7"/>
      <c r="E11" s="7"/>
      <c r="F11" s="18">
        <v>1.6</v>
      </c>
      <c r="G11" s="10">
        <f>G10*F11</f>
        <v>551.84</v>
      </c>
      <c r="H11" s="9"/>
    </row>
    <row r="13" spans="1:8" x14ac:dyDescent="0.2">
      <c r="B13" s="631" t="s">
        <v>179</v>
      </c>
      <c r="C13" s="631"/>
      <c r="D13" s="631"/>
      <c r="E13" s="631"/>
      <c r="F13" s="631"/>
      <c r="G13" s="631"/>
    </row>
    <row r="14" spans="1:8" ht="33.6" customHeight="1" x14ac:dyDescent="0.2">
      <c r="B14" s="631" t="s">
        <v>588</v>
      </c>
      <c r="C14" s="631"/>
      <c r="D14" s="631"/>
      <c r="E14" s="631"/>
      <c r="F14" s="631"/>
      <c r="G14" s="631"/>
    </row>
  </sheetData>
  <mergeCells count="3">
    <mergeCell ref="B13:G13"/>
    <mergeCell ref="B14:G14"/>
    <mergeCell ref="A3:A8"/>
  </mergeCells>
  <pageMargins left="0.7" right="0.7" top="0.75" bottom="0.75" header="0.3" footer="0.3"/>
  <pageSetup scale="5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rightToLeft="1" topLeftCell="A52" zoomScale="55" zoomScaleNormal="55" workbookViewId="0">
      <selection activeCell="D70" sqref="D70:E70"/>
    </sheetView>
  </sheetViews>
  <sheetFormatPr defaultColWidth="17.75" defaultRowHeight="14.25" x14ac:dyDescent="0.2"/>
  <sheetData>
    <row r="1" spans="1:10" ht="32.25" thickBot="1" x14ac:dyDescent="0.25">
      <c r="A1" s="144"/>
      <c r="B1" s="145" t="s">
        <v>115</v>
      </c>
      <c r="C1" s="145" t="s">
        <v>264</v>
      </c>
      <c r="D1" s="145" t="s">
        <v>265</v>
      </c>
      <c r="E1" s="145" t="s">
        <v>266</v>
      </c>
      <c r="F1" s="146" t="s">
        <v>267</v>
      </c>
      <c r="G1" s="146" t="s">
        <v>268</v>
      </c>
      <c r="H1" s="146" t="s">
        <v>269</v>
      </c>
      <c r="I1" s="147" t="s">
        <v>11</v>
      </c>
      <c r="J1" s="148" t="s">
        <v>156</v>
      </c>
    </row>
    <row r="2" spans="1:10" ht="75" x14ac:dyDescent="0.2">
      <c r="A2" s="556" t="s">
        <v>270</v>
      </c>
      <c r="B2" s="149" t="s">
        <v>271</v>
      </c>
      <c r="C2" s="150" t="s">
        <v>12</v>
      </c>
      <c r="D2" s="151">
        <f>COUNTA(#REF!)</f>
        <v>1</v>
      </c>
      <c r="E2" s="151"/>
      <c r="F2" s="151">
        <v>1</v>
      </c>
      <c r="G2" s="152">
        <f>VLOOKUP(C2,'[2]טיפוסי עמדות ועובדים'!$B$1:$H$9,6,FALSE)</f>
        <v>13.3</v>
      </c>
      <c r="H2" s="153">
        <f>G2*(E2+D2)</f>
        <v>13.3</v>
      </c>
      <c r="I2" s="154" t="s">
        <v>272</v>
      </c>
      <c r="J2" s="155"/>
    </row>
    <row r="3" spans="1:10" ht="15" x14ac:dyDescent="0.2">
      <c r="A3" s="557"/>
      <c r="B3" s="156" t="s">
        <v>273</v>
      </c>
      <c r="C3" s="157" t="s">
        <v>274</v>
      </c>
      <c r="D3" s="158">
        <v>1</v>
      </c>
      <c r="E3" s="158"/>
      <c r="F3" s="158">
        <v>1</v>
      </c>
      <c r="G3" s="159">
        <f>VLOOKUP(C3,'[2]טיפוסי עמדות ועובדים'!$B$1:$H$9,6,FALSE)</f>
        <v>6.65</v>
      </c>
      <c r="H3" s="160">
        <f t="shared" ref="H3:H4" si="0">G3*(E3+D3)</f>
        <v>6.65</v>
      </c>
      <c r="I3" s="161"/>
      <c r="J3" s="162" t="s">
        <v>275</v>
      </c>
    </row>
    <row r="4" spans="1:10" ht="90" x14ac:dyDescent="0.2">
      <c r="A4" s="557"/>
      <c r="B4" s="156" t="s">
        <v>276</v>
      </c>
      <c r="C4" s="157" t="s">
        <v>15</v>
      </c>
      <c r="D4" s="163"/>
      <c r="E4" s="163">
        <v>1</v>
      </c>
      <c r="F4" s="163">
        <v>1</v>
      </c>
      <c r="G4" s="159">
        <f>VLOOKUP(C4,'[2]טיפוסי עמדות ועובדים'!$B$1:$H$9,6,FALSE)</f>
        <v>10.7</v>
      </c>
      <c r="H4" s="164">
        <f t="shared" si="0"/>
        <v>10.7</v>
      </c>
      <c r="I4" s="165" t="s">
        <v>277</v>
      </c>
      <c r="J4" s="166"/>
    </row>
    <row r="5" spans="1:10" ht="15" x14ac:dyDescent="0.2">
      <c r="A5" s="557"/>
      <c r="B5" s="156" t="s">
        <v>278</v>
      </c>
      <c r="C5" s="157"/>
      <c r="D5" s="163"/>
      <c r="E5" s="163"/>
      <c r="F5" s="163">
        <v>1</v>
      </c>
      <c r="G5" s="159">
        <v>0.8</v>
      </c>
      <c r="H5" s="167">
        <f>10*0.8</f>
        <v>8</v>
      </c>
      <c r="I5" s="168"/>
      <c r="J5" s="169"/>
    </row>
    <row r="6" spans="1:10" ht="16.5" thickBot="1" x14ac:dyDescent="0.25">
      <c r="A6" s="558"/>
      <c r="B6" s="170" t="s">
        <v>33</v>
      </c>
      <c r="C6" s="171"/>
      <c r="D6" s="172">
        <f>SUM(D2:D5)</f>
        <v>2</v>
      </c>
      <c r="E6" s="172">
        <f>SUM(E2:E5)</f>
        <v>1</v>
      </c>
      <c r="F6" s="172">
        <f t="shared" ref="F6:G6" si="1">SUM(F2:F5)</f>
        <v>4</v>
      </c>
      <c r="G6" s="172">
        <f t="shared" si="1"/>
        <v>31.450000000000003</v>
      </c>
      <c r="H6" s="172">
        <f>SUM(H2:H5)</f>
        <v>38.650000000000006</v>
      </c>
      <c r="I6" s="173"/>
      <c r="J6" s="174"/>
    </row>
    <row r="7" spans="1:10" ht="15" x14ac:dyDescent="0.2">
      <c r="A7" s="559" t="s">
        <v>279</v>
      </c>
      <c r="B7" s="149" t="s">
        <v>280</v>
      </c>
      <c r="C7" s="150" t="s">
        <v>15</v>
      </c>
      <c r="D7" s="175">
        <v>1</v>
      </c>
      <c r="E7" s="175"/>
      <c r="F7" s="175">
        <v>1</v>
      </c>
      <c r="G7" s="152">
        <f>VLOOKUP(C7,'[2]טיפוסי עמדות ועובדים'!$B$1:$H$9,6,FALSE)</f>
        <v>10.7</v>
      </c>
      <c r="H7" s="160">
        <f t="shared" ref="H7:H48" si="2">G7*(E7+D7)</f>
        <v>10.7</v>
      </c>
      <c r="I7" s="176"/>
      <c r="J7" s="177"/>
    </row>
    <row r="8" spans="1:10" ht="15" x14ac:dyDescent="0.2">
      <c r="A8" s="560"/>
      <c r="B8" s="156" t="s">
        <v>281</v>
      </c>
      <c r="C8" s="157" t="s">
        <v>274</v>
      </c>
      <c r="D8" s="163">
        <v>1</v>
      </c>
      <c r="E8" s="163"/>
      <c r="F8" s="163">
        <v>1</v>
      </c>
      <c r="G8" s="159">
        <f>VLOOKUP(C8,'[2]טיפוסי עמדות ועובדים'!$B$1:$H$9,6,FALSE)</f>
        <v>6.65</v>
      </c>
      <c r="H8" s="160">
        <f t="shared" si="2"/>
        <v>6.65</v>
      </c>
      <c r="I8" s="168"/>
      <c r="J8" s="169"/>
    </row>
    <row r="9" spans="1:10" ht="30" x14ac:dyDescent="0.2">
      <c r="A9" s="560"/>
      <c r="B9" s="156" t="s">
        <v>282</v>
      </c>
      <c r="C9" s="157" t="s">
        <v>274</v>
      </c>
      <c r="D9" s="163">
        <v>2</v>
      </c>
      <c r="E9" s="163"/>
      <c r="F9" s="163">
        <v>2</v>
      </c>
      <c r="G9" s="159">
        <f>VLOOKUP(C9,'[2]טיפוסי עמדות ועובדים'!$B$1:$H$9,6,FALSE)</f>
        <v>6.65</v>
      </c>
      <c r="H9" s="160">
        <f t="shared" si="2"/>
        <v>13.3</v>
      </c>
      <c r="I9" s="168"/>
      <c r="J9" s="169" t="s">
        <v>283</v>
      </c>
    </row>
    <row r="10" spans="1:10" ht="15" x14ac:dyDescent="0.2">
      <c r="A10" s="560"/>
      <c r="B10" s="156" t="s">
        <v>37</v>
      </c>
      <c r="C10" s="157" t="s">
        <v>274</v>
      </c>
      <c r="D10" s="163"/>
      <c r="E10" s="163"/>
      <c r="F10" s="163">
        <v>1</v>
      </c>
      <c r="G10" s="159">
        <v>7</v>
      </c>
      <c r="H10" s="160">
        <f>G10*F10</f>
        <v>7</v>
      </c>
      <c r="I10" s="168"/>
      <c r="J10" s="169"/>
    </row>
    <row r="11" spans="1:10" ht="16.5" thickBot="1" x14ac:dyDescent="0.25">
      <c r="A11" s="561"/>
      <c r="B11" s="178" t="s">
        <v>33</v>
      </c>
      <c r="C11" s="179"/>
      <c r="D11" s="180">
        <f>SUM(D7:D10)</f>
        <v>4</v>
      </c>
      <c r="E11" s="180">
        <f>SUM(E7:E10)</f>
        <v>0</v>
      </c>
      <c r="F11" s="180">
        <f t="shared" ref="F11:G11" si="3">SUM(F7:F10)</f>
        <v>5</v>
      </c>
      <c r="G11" s="180">
        <f t="shared" si="3"/>
        <v>31</v>
      </c>
      <c r="H11" s="180">
        <f>SUM(H7:H10)</f>
        <v>37.650000000000006</v>
      </c>
      <c r="I11" s="181"/>
      <c r="J11" s="182"/>
    </row>
    <row r="12" spans="1:10" ht="18.75" x14ac:dyDescent="0.2">
      <c r="A12" s="547" t="s">
        <v>284</v>
      </c>
      <c r="B12" s="149" t="s">
        <v>285</v>
      </c>
      <c r="C12" s="150" t="s">
        <v>274</v>
      </c>
      <c r="D12" s="175">
        <v>2</v>
      </c>
      <c r="E12" s="175"/>
      <c r="F12" s="175">
        <v>2</v>
      </c>
      <c r="G12" s="152">
        <f>VLOOKUP(C12,'[2]טיפוסי עמדות ועובדים'!$B$1:$H$9,6,FALSE)</f>
        <v>6.65</v>
      </c>
      <c r="H12" s="183">
        <f t="shared" si="2"/>
        <v>13.3</v>
      </c>
      <c r="I12" s="184"/>
      <c r="J12" s="550" t="s">
        <v>286</v>
      </c>
    </row>
    <row r="13" spans="1:10" ht="18.75" x14ac:dyDescent="0.2">
      <c r="A13" s="548"/>
      <c r="B13" s="156" t="s">
        <v>287</v>
      </c>
      <c r="C13" s="157" t="s">
        <v>15</v>
      </c>
      <c r="D13" s="163">
        <v>1</v>
      </c>
      <c r="E13" s="163"/>
      <c r="F13" s="163">
        <v>1</v>
      </c>
      <c r="G13" s="159">
        <f>VLOOKUP(C13,'[2]טיפוסי עמדות ועובדים'!$B$1:$H$9,6,FALSE)</f>
        <v>10.7</v>
      </c>
      <c r="H13" s="160">
        <f t="shared" si="2"/>
        <v>10.7</v>
      </c>
      <c r="I13" s="185"/>
      <c r="J13" s="551"/>
    </row>
    <row r="14" spans="1:10" ht="45" x14ac:dyDescent="0.2">
      <c r="A14" s="548"/>
      <c r="B14" s="156" t="s">
        <v>288</v>
      </c>
      <c r="C14" s="157" t="s">
        <v>274</v>
      </c>
      <c r="D14" s="163">
        <v>1</v>
      </c>
      <c r="E14" s="163">
        <v>1</v>
      </c>
      <c r="F14" s="163">
        <v>1</v>
      </c>
      <c r="G14" s="159">
        <f>VLOOKUP(C14,'[2]טיפוסי עמדות ועובדים'!$B$1:$H$9,6,FALSE)</f>
        <v>6.65</v>
      </c>
      <c r="H14" s="160">
        <f t="shared" si="2"/>
        <v>13.3</v>
      </c>
      <c r="I14" s="186" t="s">
        <v>289</v>
      </c>
      <c r="J14" s="552"/>
    </row>
    <row r="15" spans="1:10" ht="90" x14ac:dyDescent="0.2">
      <c r="A15" s="548"/>
      <c r="B15" s="156" t="s">
        <v>290</v>
      </c>
      <c r="C15" s="157" t="s">
        <v>12</v>
      </c>
      <c r="D15" s="163"/>
      <c r="E15" s="163"/>
      <c r="F15" s="163">
        <v>1</v>
      </c>
      <c r="G15" s="159">
        <f>VLOOKUP(C15,'[2]טיפוסי עמדות ועובדים'!$B$1:$H$9,6,FALSE)</f>
        <v>13.3</v>
      </c>
      <c r="H15" s="160">
        <f t="shared" ref="H15:H18" si="4">G15*F15</f>
        <v>13.3</v>
      </c>
      <c r="I15" s="161" t="s">
        <v>291</v>
      </c>
      <c r="J15" s="162"/>
    </row>
    <row r="16" spans="1:10" ht="90" x14ac:dyDescent="0.2">
      <c r="A16" s="548"/>
      <c r="B16" s="156" t="s">
        <v>292</v>
      </c>
      <c r="C16" s="157" t="s">
        <v>12</v>
      </c>
      <c r="D16" s="163"/>
      <c r="E16" s="163"/>
      <c r="F16" s="163">
        <v>1</v>
      </c>
      <c r="G16" s="159">
        <f>VLOOKUP(C16,'[2]טיפוסי עמדות ועובדים'!$B$1:$H$9,6,FALSE)</f>
        <v>13.3</v>
      </c>
      <c r="H16" s="160">
        <f t="shared" si="4"/>
        <v>13.3</v>
      </c>
      <c r="I16" s="161" t="s">
        <v>293</v>
      </c>
      <c r="J16" s="187" t="s">
        <v>294</v>
      </c>
    </row>
    <row r="17" spans="1:10" ht="18.75" x14ac:dyDescent="0.2">
      <c r="A17" s="548"/>
      <c r="B17" s="156" t="s">
        <v>295</v>
      </c>
      <c r="C17" s="157"/>
      <c r="D17" s="163"/>
      <c r="E17" s="163"/>
      <c r="F17" s="163">
        <v>1</v>
      </c>
      <c r="G17" s="159">
        <v>0.8</v>
      </c>
      <c r="H17" s="167">
        <f>10*0.8</f>
        <v>8</v>
      </c>
      <c r="I17" s="188"/>
      <c r="J17" s="189"/>
    </row>
    <row r="18" spans="1:10" ht="105" x14ac:dyDescent="0.2">
      <c r="A18" s="548"/>
      <c r="B18" s="156" t="s">
        <v>296</v>
      </c>
      <c r="C18" s="157"/>
      <c r="D18" s="163"/>
      <c r="E18" s="163"/>
      <c r="F18" s="163">
        <v>1</v>
      </c>
      <c r="G18" s="159">
        <v>30</v>
      </c>
      <c r="H18" s="160">
        <f t="shared" si="4"/>
        <v>30</v>
      </c>
      <c r="I18" s="161" t="s">
        <v>297</v>
      </c>
      <c r="J18" s="162"/>
    </row>
    <row r="19" spans="1:10" ht="18.75" x14ac:dyDescent="0.2">
      <c r="A19" s="548"/>
      <c r="B19" s="156" t="s">
        <v>298</v>
      </c>
      <c r="C19" s="157" t="s">
        <v>274</v>
      </c>
      <c r="D19" s="163">
        <v>1</v>
      </c>
      <c r="E19" s="163"/>
      <c r="F19" s="163">
        <v>1</v>
      </c>
      <c r="G19" s="159">
        <f>VLOOKUP(C19,'[2]טיפוסי עמדות ועובדים'!$B$1:$H$9,6,FALSE)</f>
        <v>6.65</v>
      </c>
      <c r="H19" s="160">
        <f t="shared" si="2"/>
        <v>6.65</v>
      </c>
      <c r="I19" s="190"/>
      <c r="J19" s="191"/>
    </row>
    <row r="20" spans="1:10" ht="18.75" x14ac:dyDescent="0.2">
      <c r="A20" s="548"/>
      <c r="B20" s="156" t="s">
        <v>299</v>
      </c>
      <c r="C20" s="157" t="s">
        <v>274</v>
      </c>
      <c r="D20" s="163">
        <v>1</v>
      </c>
      <c r="E20" s="163"/>
      <c r="F20" s="163">
        <v>1</v>
      </c>
      <c r="G20" s="159">
        <f>VLOOKUP(C20,'[2]טיפוסי עמדות ועובדים'!$B$1:$H$9,6,FALSE)</f>
        <v>6.65</v>
      </c>
      <c r="H20" s="160">
        <f t="shared" si="2"/>
        <v>6.65</v>
      </c>
      <c r="I20" s="190"/>
      <c r="J20" s="191"/>
    </row>
    <row r="21" spans="1:10" ht="15" x14ac:dyDescent="0.2">
      <c r="A21" s="548"/>
      <c r="B21" s="156" t="s">
        <v>300</v>
      </c>
      <c r="C21" s="157" t="s">
        <v>274</v>
      </c>
      <c r="D21" s="163">
        <v>4</v>
      </c>
      <c r="E21" s="163">
        <v>1</v>
      </c>
      <c r="F21" s="163">
        <v>1</v>
      </c>
      <c r="G21" s="159">
        <f>VLOOKUP(C21,'[2]טיפוסי עמדות ועובדים'!$B$1:$H$9,6,FALSE)</f>
        <v>6.65</v>
      </c>
      <c r="H21" s="160">
        <f t="shared" si="2"/>
        <v>33.25</v>
      </c>
      <c r="I21" s="161" t="s">
        <v>301</v>
      </c>
      <c r="J21" s="162"/>
    </row>
    <row r="22" spans="1:10" ht="16.5" thickBot="1" x14ac:dyDescent="0.25">
      <c r="A22" s="549"/>
      <c r="B22" s="192" t="s">
        <v>33</v>
      </c>
      <c r="C22" s="193"/>
      <c r="D22" s="194">
        <f>SUM(D12:D21)</f>
        <v>10</v>
      </c>
      <c r="E22" s="194">
        <f>SUM(E12:E21)</f>
        <v>2</v>
      </c>
      <c r="F22" s="194">
        <f>SUM(F12:F21)</f>
        <v>11</v>
      </c>
      <c r="G22" s="195">
        <f>SUM(G12:G21)</f>
        <v>101.35000000000001</v>
      </c>
      <c r="H22" s="195">
        <f>SUM(H12:H21)</f>
        <v>148.44999999999999</v>
      </c>
      <c r="I22" s="196"/>
      <c r="J22" s="197"/>
    </row>
    <row r="23" spans="1:10" ht="15" x14ac:dyDescent="0.2">
      <c r="A23" s="562" t="s">
        <v>302</v>
      </c>
      <c r="B23" s="156" t="s">
        <v>303</v>
      </c>
      <c r="C23" s="198" t="s">
        <v>15</v>
      </c>
      <c r="D23" s="150">
        <v>1</v>
      </c>
      <c r="E23" s="150"/>
      <c r="F23" s="150">
        <f>D23</f>
        <v>1</v>
      </c>
      <c r="G23" s="199">
        <f>VLOOKUP(C23,'[2]טיפוסי עמדות ועובדים'!$B$1:$H$9,6,FALSE)</f>
        <v>10.7</v>
      </c>
      <c r="H23" s="160">
        <f t="shared" si="2"/>
        <v>10.7</v>
      </c>
      <c r="I23" s="176"/>
      <c r="J23" s="550" t="s">
        <v>304</v>
      </c>
    </row>
    <row r="24" spans="1:10" ht="18.75" x14ac:dyDescent="0.2">
      <c r="A24" s="563"/>
      <c r="B24" s="156" t="s">
        <v>305</v>
      </c>
      <c r="C24" s="157" t="s">
        <v>274</v>
      </c>
      <c r="D24" s="157">
        <v>1</v>
      </c>
      <c r="E24" s="200"/>
      <c r="F24" s="157">
        <f>D24</f>
        <v>1</v>
      </c>
      <c r="G24" s="201">
        <f>VLOOKUP(C24,'[2]טיפוסי עמדות ועובדים'!$B$1:$H$9,6,FALSE)</f>
        <v>6.65</v>
      </c>
      <c r="H24" s="160">
        <f t="shared" si="2"/>
        <v>6.65</v>
      </c>
      <c r="I24" s="168"/>
      <c r="J24" s="551"/>
    </row>
    <row r="25" spans="1:10" ht="18.75" x14ac:dyDescent="0.2">
      <c r="A25" s="563"/>
      <c r="B25" s="156" t="s">
        <v>306</v>
      </c>
      <c r="C25" s="157" t="s">
        <v>274</v>
      </c>
      <c r="D25" s="157">
        <v>1</v>
      </c>
      <c r="E25" s="200"/>
      <c r="F25" s="157">
        <f t="shared" ref="F25:F28" si="5">D25</f>
        <v>1</v>
      </c>
      <c r="G25" s="201">
        <f>VLOOKUP(C25,'[2]טיפוסי עמדות ועובדים'!$B$1:$H$9,6,FALSE)</f>
        <v>6.65</v>
      </c>
      <c r="H25" s="160">
        <f t="shared" si="2"/>
        <v>6.65</v>
      </c>
      <c r="I25" s="168"/>
      <c r="J25" s="551"/>
    </row>
    <row r="26" spans="1:10" ht="18.75" x14ac:dyDescent="0.2">
      <c r="A26" s="563"/>
      <c r="B26" s="156" t="s">
        <v>307</v>
      </c>
      <c r="C26" s="202" t="s">
        <v>274</v>
      </c>
      <c r="D26" s="157">
        <v>4</v>
      </c>
      <c r="E26" s="200"/>
      <c r="F26" s="157">
        <f t="shared" si="5"/>
        <v>4</v>
      </c>
      <c r="G26" s="201">
        <f>VLOOKUP(C26,'[2]טיפוסי עמדות ועובדים'!$B$1:$H$9,6,FALSE)</f>
        <v>6.65</v>
      </c>
      <c r="H26" s="160">
        <f t="shared" si="2"/>
        <v>26.6</v>
      </c>
      <c r="I26" s="168"/>
      <c r="J26" s="551"/>
    </row>
    <row r="27" spans="1:10" ht="18.75" x14ac:dyDescent="0.2">
      <c r="A27" s="563"/>
      <c r="B27" s="156" t="s">
        <v>308</v>
      </c>
      <c r="C27" s="202" t="s">
        <v>274</v>
      </c>
      <c r="D27" s="157">
        <v>1</v>
      </c>
      <c r="E27" s="200"/>
      <c r="F27" s="157">
        <f t="shared" si="5"/>
        <v>1</v>
      </c>
      <c r="G27" s="201">
        <f>VLOOKUP(C27,'[2]טיפוסי עמדות ועובדים'!$B$1:$H$9,6,FALSE)</f>
        <v>6.65</v>
      </c>
      <c r="H27" s="160">
        <f t="shared" si="2"/>
        <v>6.65</v>
      </c>
      <c r="I27" s="168"/>
      <c r="J27" s="551"/>
    </row>
    <row r="28" spans="1:10" ht="18.75" x14ac:dyDescent="0.2">
      <c r="A28" s="563"/>
      <c r="B28" s="156" t="s">
        <v>309</v>
      </c>
      <c r="C28" s="157" t="s">
        <v>274</v>
      </c>
      <c r="D28" s="157">
        <v>1</v>
      </c>
      <c r="E28" s="200"/>
      <c r="F28" s="157">
        <f t="shared" si="5"/>
        <v>1</v>
      </c>
      <c r="G28" s="159">
        <f>15*0.8+2.5*(0.7+0.9+1)</f>
        <v>18.5</v>
      </c>
      <c r="H28" s="160">
        <f t="shared" si="2"/>
        <v>18.5</v>
      </c>
      <c r="I28" s="168"/>
      <c r="J28" s="552"/>
    </row>
    <row r="29" spans="1:10" ht="18.75" x14ac:dyDescent="0.2">
      <c r="A29" s="563"/>
      <c r="B29" s="156" t="s">
        <v>310</v>
      </c>
      <c r="C29" s="157"/>
      <c r="D29" s="157"/>
      <c r="E29" s="203"/>
      <c r="F29" s="157">
        <v>1</v>
      </c>
      <c r="G29" s="159">
        <v>20</v>
      </c>
      <c r="H29" s="160">
        <f>G29*F29</f>
        <v>20</v>
      </c>
      <c r="I29" s="168" t="s">
        <v>311</v>
      </c>
      <c r="J29" s="169"/>
    </row>
    <row r="30" spans="1:10" ht="16.5" thickBot="1" x14ac:dyDescent="0.25">
      <c r="A30" s="564"/>
      <c r="B30" s="204" t="s">
        <v>33</v>
      </c>
      <c r="C30" s="205"/>
      <c r="D30" s="206">
        <f t="shared" ref="D30:G30" si="6">SUM(D23:D29)</f>
        <v>9</v>
      </c>
      <c r="E30" s="206">
        <f t="shared" si="6"/>
        <v>0</v>
      </c>
      <c r="F30" s="206">
        <f t="shared" si="6"/>
        <v>10</v>
      </c>
      <c r="G30" s="207">
        <f t="shared" si="6"/>
        <v>75.8</v>
      </c>
      <c r="H30" s="207">
        <f>SUM(H23:H29)</f>
        <v>95.75</v>
      </c>
      <c r="I30" s="208"/>
      <c r="J30" s="209"/>
    </row>
    <row r="31" spans="1:10" ht="15" x14ac:dyDescent="0.2">
      <c r="A31" s="544" t="s">
        <v>312</v>
      </c>
      <c r="B31" s="149" t="s">
        <v>313</v>
      </c>
      <c r="C31" s="150" t="s">
        <v>274</v>
      </c>
      <c r="D31" s="150"/>
      <c r="E31" s="157">
        <v>1</v>
      </c>
      <c r="F31" s="175">
        <v>1</v>
      </c>
      <c r="G31" s="152">
        <f>VLOOKUP(C31,'[2]טיפוסי עמדות ועובדים'!$B$1:$H$9,6,FALSE)</f>
        <v>6.65</v>
      </c>
      <c r="H31" s="160">
        <f t="shared" si="2"/>
        <v>6.65</v>
      </c>
      <c r="I31" s="176" t="s">
        <v>314</v>
      </c>
      <c r="J31" s="177"/>
    </row>
    <row r="32" spans="1:10" ht="18.75" x14ac:dyDescent="0.2">
      <c r="A32" s="545"/>
      <c r="B32" s="156" t="s">
        <v>315</v>
      </c>
      <c r="C32" s="157" t="s">
        <v>274</v>
      </c>
      <c r="D32" s="157">
        <v>1</v>
      </c>
      <c r="E32" s="200"/>
      <c r="F32" s="163">
        <f t="shared" ref="F32:F33" si="7">D32</f>
        <v>1</v>
      </c>
      <c r="G32" s="159">
        <f>VLOOKUP(C32,'[2]טיפוסי עמדות ועובדים'!$B$1:$H$9,6,FALSE)</f>
        <v>6.65</v>
      </c>
      <c r="H32" s="160">
        <f t="shared" si="2"/>
        <v>6.65</v>
      </c>
      <c r="I32" s="168" t="s">
        <v>316</v>
      </c>
      <c r="J32" s="169"/>
    </row>
    <row r="33" spans="1:10" ht="18.75" x14ac:dyDescent="0.2">
      <c r="A33" s="545"/>
      <c r="B33" s="156" t="s">
        <v>317</v>
      </c>
      <c r="C33" s="157" t="s">
        <v>274</v>
      </c>
      <c r="D33" s="157">
        <v>1</v>
      </c>
      <c r="E33" s="200"/>
      <c r="F33" s="163">
        <f t="shared" si="7"/>
        <v>1</v>
      </c>
      <c r="G33" s="159">
        <f>VLOOKUP(C33,'[2]טיפוסי עמדות ועובדים'!$B$1:$H$9,6,FALSE)</f>
        <v>6.65</v>
      </c>
      <c r="H33" s="160">
        <f t="shared" si="2"/>
        <v>6.65</v>
      </c>
      <c r="I33" s="168" t="s">
        <v>318</v>
      </c>
      <c r="J33" s="169"/>
    </row>
    <row r="34" spans="1:10" ht="16.5" thickBot="1" x14ac:dyDescent="0.25">
      <c r="A34" s="546"/>
      <c r="B34" s="210" t="s">
        <v>33</v>
      </c>
      <c r="C34" s="211"/>
      <c r="D34" s="212">
        <f>SUM(D31:D33)</f>
        <v>2</v>
      </c>
      <c r="E34" s="212">
        <f>SUM(E31:E33)</f>
        <v>1</v>
      </c>
      <c r="F34" s="212">
        <f>SUM(F31:F33)</f>
        <v>3</v>
      </c>
      <c r="G34" s="213">
        <f>SUM(G31:G33)</f>
        <v>19.950000000000003</v>
      </c>
      <c r="H34" s="213">
        <f>SUM(H31:H33)</f>
        <v>19.950000000000003</v>
      </c>
      <c r="I34" s="214"/>
      <c r="J34" s="215"/>
    </row>
    <row r="35" spans="1:10" ht="15" x14ac:dyDescent="0.2">
      <c r="A35" s="547" t="s">
        <v>319</v>
      </c>
      <c r="B35" s="149" t="s">
        <v>320</v>
      </c>
      <c r="C35" s="150" t="s">
        <v>15</v>
      </c>
      <c r="D35" s="150">
        <v>1</v>
      </c>
      <c r="E35" s="150"/>
      <c r="F35" s="150">
        <v>1</v>
      </c>
      <c r="G35" s="152">
        <f>VLOOKUP(C35,'[2]טיפוסי עמדות ועובדים'!$B$1:$H$9,6,FALSE)</f>
        <v>10.7</v>
      </c>
      <c r="H35" s="183">
        <f t="shared" si="2"/>
        <v>10.7</v>
      </c>
      <c r="I35" s="154"/>
      <c r="J35" s="550" t="s">
        <v>321</v>
      </c>
    </row>
    <row r="36" spans="1:10" ht="15" x14ac:dyDescent="0.2">
      <c r="A36" s="548"/>
      <c r="B36" s="156" t="s">
        <v>83</v>
      </c>
      <c r="C36" s="157" t="s">
        <v>274</v>
      </c>
      <c r="D36" s="157">
        <v>5</v>
      </c>
      <c r="E36" s="157">
        <v>1</v>
      </c>
      <c r="F36" s="157">
        <f>E36+D36</f>
        <v>6</v>
      </c>
      <c r="G36" s="159">
        <f>VLOOKUP(C36,'[2]טיפוסי עמדות ועובדים'!$B$1:$H$9,6,FALSE)</f>
        <v>6.65</v>
      </c>
      <c r="H36" s="160">
        <f t="shared" si="2"/>
        <v>39.900000000000006</v>
      </c>
      <c r="I36" s="161"/>
      <c r="J36" s="551"/>
    </row>
    <row r="37" spans="1:10" ht="18.75" x14ac:dyDescent="0.2">
      <c r="A37" s="548"/>
      <c r="B37" s="156" t="s">
        <v>36</v>
      </c>
      <c r="C37" s="157" t="s">
        <v>274</v>
      </c>
      <c r="D37" s="157">
        <v>1</v>
      </c>
      <c r="E37" s="200"/>
      <c r="F37" s="157">
        <f>E37+D37</f>
        <v>1</v>
      </c>
      <c r="G37" s="159">
        <f>VLOOKUP(C37,'[2]טיפוסי עמדות ועובדים'!$B$1:$H$9,6,FALSE)</f>
        <v>6.65</v>
      </c>
      <c r="H37" s="160">
        <f t="shared" si="2"/>
        <v>6.65</v>
      </c>
      <c r="I37" s="161"/>
      <c r="J37" s="552"/>
    </row>
    <row r="38" spans="1:10" ht="18.75" x14ac:dyDescent="0.2">
      <c r="A38" s="548"/>
      <c r="B38" s="156" t="s">
        <v>322</v>
      </c>
      <c r="C38" s="157"/>
      <c r="D38" s="157"/>
      <c r="E38" s="200"/>
      <c r="F38" s="157">
        <v>1</v>
      </c>
      <c r="G38" s="159">
        <v>12</v>
      </c>
      <c r="H38" s="160">
        <f t="shared" ref="H38:H41" si="8">G38*F38</f>
        <v>12</v>
      </c>
      <c r="I38" s="168" t="s">
        <v>323</v>
      </c>
      <c r="J38" s="169"/>
    </row>
    <row r="39" spans="1:10" ht="18.75" x14ac:dyDescent="0.2">
      <c r="A39" s="548"/>
      <c r="B39" s="156" t="s">
        <v>324</v>
      </c>
      <c r="C39" s="157"/>
      <c r="D39" s="200"/>
      <c r="E39" s="200"/>
      <c r="F39" s="157">
        <v>1</v>
      </c>
      <c r="G39" s="159">
        <v>5</v>
      </c>
      <c r="H39" s="160">
        <f t="shared" si="8"/>
        <v>5</v>
      </c>
      <c r="I39" s="216"/>
      <c r="J39" s="217"/>
    </row>
    <row r="40" spans="1:10" ht="120" x14ac:dyDescent="0.2">
      <c r="A40" s="548"/>
      <c r="B40" s="156" t="s">
        <v>325</v>
      </c>
      <c r="C40" s="157"/>
      <c r="D40" s="200"/>
      <c r="E40" s="200"/>
      <c r="F40" s="157">
        <v>1</v>
      </c>
      <c r="G40" s="159">
        <v>12</v>
      </c>
      <c r="H40" s="160">
        <f t="shared" si="8"/>
        <v>12</v>
      </c>
      <c r="I40" s="168" t="s">
        <v>326</v>
      </c>
      <c r="J40" s="217"/>
    </row>
    <row r="41" spans="1:10" ht="90" x14ac:dyDescent="0.2">
      <c r="A41" s="548"/>
      <c r="B41" s="156" t="s">
        <v>327</v>
      </c>
      <c r="C41" s="157"/>
      <c r="D41" s="200"/>
      <c r="E41" s="200"/>
      <c r="F41" s="157">
        <v>1</v>
      </c>
      <c r="G41" s="159">
        <v>12</v>
      </c>
      <c r="H41" s="160">
        <f t="shared" si="8"/>
        <v>12</v>
      </c>
      <c r="I41" s="168" t="s">
        <v>328</v>
      </c>
      <c r="J41" s="169"/>
    </row>
    <row r="42" spans="1:10" ht="16.5" thickBot="1" x14ac:dyDescent="0.25">
      <c r="A42" s="549"/>
      <c r="B42" s="192" t="s">
        <v>33</v>
      </c>
      <c r="C42" s="193"/>
      <c r="D42" s="194">
        <f>SUM(D35:D41)</f>
        <v>7</v>
      </c>
      <c r="E42" s="194">
        <f>SUM(E35:E41)</f>
        <v>1</v>
      </c>
      <c r="F42" s="194">
        <f>SUM(F35:F41)</f>
        <v>12</v>
      </c>
      <c r="G42" s="195">
        <f>SUM(G35:G41)</f>
        <v>65</v>
      </c>
      <c r="H42" s="195">
        <f>SUM(H35:H41)</f>
        <v>98.25</v>
      </c>
      <c r="I42" s="196"/>
      <c r="J42" s="197"/>
    </row>
    <row r="43" spans="1:10" ht="60" x14ac:dyDescent="0.2">
      <c r="A43" s="553" t="s">
        <v>329</v>
      </c>
      <c r="B43" s="149" t="s">
        <v>330</v>
      </c>
      <c r="C43" s="157" t="s">
        <v>15</v>
      </c>
      <c r="D43" s="150">
        <v>1</v>
      </c>
      <c r="E43" s="150">
        <v>1</v>
      </c>
      <c r="F43" s="157">
        <f>E43+D43</f>
        <v>2</v>
      </c>
      <c r="G43" s="152">
        <f>VLOOKUP(C43,'[2]טיפוסי עמדות ועובדים'!$B$1:$H$9,6,FALSE)</f>
        <v>10.7</v>
      </c>
      <c r="H43" s="160">
        <f t="shared" si="2"/>
        <v>21.4</v>
      </c>
      <c r="I43" s="218" t="s">
        <v>331</v>
      </c>
      <c r="J43" s="550" t="s">
        <v>332</v>
      </c>
    </row>
    <row r="44" spans="1:10" ht="60" x14ac:dyDescent="0.2">
      <c r="A44" s="554"/>
      <c r="B44" s="156" t="s">
        <v>333</v>
      </c>
      <c r="C44" s="157" t="s">
        <v>15</v>
      </c>
      <c r="D44" s="157">
        <v>1</v>
      </c>
      <c r="E44" s="157">
        <v>1</v>
      </c>
      <c r="F44" s="157">
        <f t="shared" ref="F44:F48" si="9">E44+D44</f>
        <v>2</v>
      </c>
      <c r="G44" s="159">
        <f>VLOOKUP(C44,'[2]טיפוסי עמדות ועובדים'!$B$1:$H$9,6,FALSE)</f>
        <v>10.7</v>
      </c>
      <c r="H44" s="160">
        <f t="shared" si="2"/>
        <v>21.4</v>
      </c>
      <c r="I44" s="186" t="s">
        <v>331</v>
      </c>
      <c r="J44" s="551"/>
    </row>
    <row r="45" spans="1:10" ht="60" x14ac:dyDescent="0.2">
      <c r="A45" s="554"/>
      <c r="B45" s="156" t="s">
        <v>334</v>
      </c>
      <c r="C45" s="157" t="s">
        <v>15</v>
      </c>
      <c r="D45" s="157">
        <v>4</v>
      </c>
      <c r="E45" s="157"/>
      <c r="F45" s="157">
        <f t="shared" si="9"/>
        <v>4</v>
      </c>
      <c r="G45" s="159">
        <f>VLOOKUP(C45,'[2]טיפוסי עמדות ועובדים'!$B$1:$H$9,6,FALSE)</f>
        <v>10.7</v>
      </c>
      <c r="H45" s="160">
        <f t="shared" si="2"/>
        <v>42.8</v>
      </c>
      <c r="I45" s="186" t="s">
        <v>331</v>
      </c>
      <c r="J45" s="551"/>
    </row>
    <row r="46" spans="1:10" ht="60" x14ac:dyDescent="0.2">
      <c r="A46" s="554"/>
      <c r="B46" s="156" t="s">
        <v>335</v>
      </c>
      <c r="C46" s="157" t="s">
        <v>274</v>
      </c>
      <c r="D46" s="157">
        <v>1</v>
      </c>
      <c r="E46" s="157"/>
      <c r="F46" s="157">
        <f t="shared" si="9"/>
        <v>1</v>
      </c>
      <c r="G46" s="159">
        <f>VLOOKUP(C46,'[2]טיפוסי עמדות ועובדים'!$B$1:$H$9,6,FALSE)</f>
        <v>6.65</v>
      </c>
      <c r="H46" s="160">
        <f t="shared" si="2"/>
        <v>6.65</v>
      </c>
      <c r="I46" s="186" t="s">
        <v>331</v>
      </c>
      <c r="J46" s="552"/>
    </row>
    <row r="47" spans="1:10" ht="60" x14ac:dyDescent="0.2">
      <c r="A47" s="554"/>
      <c r="B47" s="156" t="s">
        <v>336</v>
      </c>
      <c r="C47" s="219"/>
      <c r="D47" s="157"/>
      <c r="E47" s="157"/>
      <c r="F47" s="157">
        <v>1</v>
      </c>
      <c r="G47" s="159">
        <v>0.8</v>
      </c>
      <c r="H47" s="167">
        <f>15*0.8</f>
        <v>12</v>
      </c>
      <c r="I47" s="186" t="s">
        <v>331</v>
      </c>
      <c r="J47" s="220"/>
    </row>
    <row r="48" spans="1:10" ht="15" x14ac:dyDescent="0.2">
      <c r="A48" s="554"/>
      <c r="B48" s="156" t="s">
        <v>337</v>
      </c>
      <c r="C48" s="219" t="s">
        <v>13</v>
      </c>
      <c r="D48" s="157"/>
      <c r="E48" s="157">
        <v>2</v>
      </c>
      <c r="F48" s="157">
        <f t="shared" si="9"/>
        <v>2</v>
      </c>
      <c r="G48" s="159">
        <f>VLOOKUP(C48,'[2]טיפוסי עמדות ועובדים'!$B$1:$H$9,6,FALSE)</f>
        <v>4.4333333333333336</v>
      </c>
      <c r="H48" s="160">
        <f t="shared" si="2"/>
        <v>8.8666666666666671</v>
      </c>
      <c r="I48" s="165"/>
      <c r="J48" s="166"/>
    </row>
    <row r="49" spans="1:10" ht="18.75" x14ac:dyDescent="0.2">
      <c r="A49" s="554"/>
      <c r="B49" s="156" t="s">
        <v>37</v>
      </c>
      <c r="C49" s="157"/>
      <c r="D49" s="200"/>
      <c r="E49" s="200"/>
      <c r="F49" s="157">
        <v>1</v>
      </c>
      <c r="G49" s="221">
        <v>8</v>
      </c>
      <c r="H49" s="159">
        <f t="shared" ref="H49" si="10">G49*F49</f>
        <v>8</v>
      </c>
      <c r="I49" s="168"/>
      <c r="J49" s="169"/>
    </row>
    <row r="50" spans="1:10" ht="16.5" thickBot="1" x14ac:dyDescent="0.25">
      <c r="A50" s="555"/>
      <c r="B50" s="222" t="s">
        <v>33</v>
      </c>
      <c r="C50" s="223"/>
      <c r="D50" s="224">
        <f>SUM(D43:D49)</f>
        <v>7</v>
      </c>
      <c r="E50" s="224">
        <f>SUM(E43:E49)</f>
        <v>4</v>
      </c>
      <c r="F50" s="224">
        <f>SUM(F43:F49)</f>
        <v>13</v>
      </c>
      <c r="G50" s="225">
        <f>SUM(G43:G49)</f>
        <v>51.98333333333332</v>
      </c>
      <c r="H50" s="225">
        <f>SUM(H43:H49)</f>
        <v>121.11666666666667</v>
      </c>
      <c r="I50" s="226"/>
      <c r="J50" s="227"/>
    </row>
    <row r="51" spans="1:10" ht="18.75" x14ac:dyDescent="0.2">
      <c r="A51" s="544" t="s">
        <v>338</v>
      </c>
      <c r="B51" s="149" t="s">
        <v>339</v>
      </c>
      <c r="C51" s="150" t="s">
        <v>274</v>
      </c>
      <c r="D51" s="150">
        <v>1</v>
      </c>
      <c r="E51" s="228"/>
      <c r="F51" s="175">
        <f>D51</f>
        <v>1</v>
      </c>
      <c r="G51" s="152">
        <f>VLOOKUP(C51,'[2]טיפוסי עמדות ועובדים'!$B$1:$H$9,6,FALSE)</f>
        <v>6.65</v>
      </c>
      <c r="H51" s="160">
        <f t="shared" ref="H51:H54" si="11">G51*(E51+D51)</f>
        <v>6.65</v>
      </c>
      <c r="I51" s="176"/>
      <c r="J51" s="177"/>
    </row>
    <row r="52" spans="1:10" ht="18.75" x14ac:dyDescent="0.2">
      <c r="A52" s="545"/>
      <c r="B52" s="156" t="s">
        <v>340</v>
      </c>
      <c r="C52" s="157" t="s">
        <v>274</v>
      </c>
      <c r="D52" s="157">
        <v>1</v>
      </c>
      <c r="E52" s="200"/>
      <c r="F52" s="163">
        <v>1</v>
      </c>
      <c r="G52" s="159">
        <f>VLOOKUP(C52,'[2]טיפוסי עמדות ועובדים'!$B$1:$H$9,6,FALSE)</f>
        <v>6.65</v>
      </c>
      <c r="H52" s="160">
        <f t="shared" si="11"/>
        <v>6.65</v>
      </c>
      <c r="I52" s="168"/>
      <c r="J52" s="169"/>
    </row>
    <row r="53" spans="1:10" ht="18.75" x14ac:dyDescent="0.2">
      <c r="A53" s="545"/>
      <c r="B53" s="156" t="s">
        <v>341</v>
      </c>
      <c r="C53" s="157" t="s">
        <v>13</v>
      </c>
      <c r="D53" s="157">
        <v>1</v>
      </c>
      <c r="E53" s="200"/>
      <c r="F53" s="163">
        <v>1</v>
      </c>
      <c r="G53" s="159">
        <f>VLOOKUP(C53,'[2]טיפוסי עמדות ועובדים'!$B$1:$H$9,6,FALSE)</f>
        <v>4.4333333333333336</v>
      </c>
      <c r="H53" s="160">
        <f t="shared" si="11"/>
        <v>4.4333333333333336</v>
      </c>
      <c r="I53" s="186" t="s">
        <v>342</v>
      </c>
      <c r="J53" s="220"/>
    </row>
    <row r="54" spans="1:10" ht="18.75" x14ac:dyDescent="0.2">
      <c r="A54" s="545"/>
      <c r="B54" s="156" t="s">
        <v>343</v>
      </c>
      <c r="C54" s="157" t="s">
        <v>274</v>
      </c>
      <c r="D54" s="157">
        <v>1</v>
      </c>
      <c r="E54" s="200"/>
      <c r="F54" s="229">
        <f t="shared" ref="F54" si="12">D54</f>
        <v>1</v>
      </c>
      <c r="G54" s="221">
        <f>VLOOKUP(C54,'[2]טיפוסי עמדות ועובדים'!$B$1:$H$9,6,FALSE)</f>
        <v>6.65</v>
      </c>
      <c r="H54" s="160">
        <f t="shared" si="11"/>
        <v>6.65</v>
      </c>
      <c r="I54" s="186" t="s">
        <v>344</v>
      </c>
      <c r="J54" s="220"/>
    </row>
    <row r="55" spans="1:10" ht="16.5" thickBot="1" x14ac:dyDescent="0.25">
      <c r="A55" s="546"/>
      <c r="B55" s="210" t="s">
        <v>33</v>
      </c>
      <c r="C55" s="211"/>
      <c r="D55" s="212">
        <f>SUM(D51:D54)</f>
        <v>4</v>
      </c>
      <c r="E55" s="212">
        <f>SUM(E51:E54)</f>
        <v>0</v>
      </c>
      <c r="F55" s="212">
        <f t="shared" ref="F55:G55" si="13">SUM(F51:F54)</f>
        <v>4</v>
      </c>
      <c r="G55" s="213">
        <f t="shared" si="13"/>
        <v>24.383333333333333</v>
      </c>
      <c r="H55" s="213">
        <f>SUM(H51:H54)</f>
        <v>24.383333333333333</v>
      </c>
      <c r="I55" s="214"/>
      <c r="J55" s="215"/>
    </row>
    <row r="56" spans="1:10" ht="75" x14ac:dyDescent="0.2">
      <c r="A56" s="531" t="s">
        <v>345</v>
      </c>
      <c r="B56" s="149" t="s">
        <v>346</v>
      </c>
      <c r="C56" s="150" t="s">
        <v>274</v>
      </c>
      <c r="D56" s="150"/>
      <c r="E56" s="150">
        <v>1</v>
      </c>
      <c r="F56" s="175">
        <v>1</v>
      </c>
      <c r="G56" s="152">
        <f>VLOOKUP(C56,'[2]טיפוסי עמדות ועובדים'!$B$1:$H$9,6,FALSE)</f>
        <v>6.65</v>
      </c>
      <c r="H56" s="160">
        <f t="shared" ref="H56:H58" si="14">G56*(E56+D56)</f>
        <v>6.65</v>
      </c>
      <c r="I56" s="218" t="s">
        <v>347</v>
      </c>
      <c r="J56" s="230"/>
    </row>
    <row r="57" spans="1:10" ht="30" x14ac:dyDescent="0.2">
      <c r="A57" s="532"/>
      <c r="B57" s="156" t="s">
        <v>348</v>
      </c>
      <c r="C57" s="157"/>
      <c r="D57" s="157"/>
      <c r="E57" s="203"/>
      <c r="F57" s="163">
        <v>1</v>
      </c>
      <c r="G57" s="159">
        <v>12</v>
      </c>
      <c r="H57" s="160">
        <f>G57*F57</f>
        <v>12</v>
      </c>
      <c r="I57" s="186" t="s">
        <v>349</v>
      </c>
      <c r="J57" s="220"/>
    </row>
    <row r="58" spans="1:10" ht="15" x14ac:dyDescent="0.2">
      <c r="A58" s="532"/>
      <c r="B58" s="156" t="s">
        <v>350</v>
      </c>
      <c r="C58" s="157" t="s">
        <v>274</v>
      </c>
      <c r="D58" s="157"/>
      <c r="E58" s="157">
        <v>1</v>
      </c>
      <c r="F58" s="163">
        <v>1</v>
      </c>
      <c r="G58" s="159">
        <f>VLOOKUP(C58,'[2]טיפוסי עמדות ועובדים'!$B$1:$H$9,6,FALSE)</f>
        <v>6.65</v>
      </c>
      <c r="H58" s="160">
        <f t="shared" si="14"/>
        <v>6.65</v>
      </c>
      <c r="I58" s="186"/>
      <c r="J58" s="220"/>
    </row>
    <row r="59" spans="1:10" ht="60" x14ac:dyDescent="0.2">
      <c r="A59" s="532"/>
      <c r="B59" s="231" t="s">
        <v>351</v>
      </c>
      <c r="C59" s="219"/>
      <c r="D59" s="232"/>
      <c r="E59" s="232"/>
      <c r="F59" s="232">
        <v>1</v>
      </c>
      <c r="G59" s="221">
        <v>25</v>
      </c>
      <c r="H59" s="221">
        <f>G59*F59</f>
        <v>25</v>
      </c>
      <c r="I59" s="165" t="s">
        <v>352</v>
      </c>
      <c r="J59" s="220"/>
    </row>
    <row r="60" spans="1:10" ht="150" x14ac:dyDescent="0.2">
      <c r="A60" s="532"/>
      <c r="B60" s="231" t="s">
        <v>353</v>
      </c>
      <c r="C60" s="219"/>
      <c r="D60" s="232"/>
      <c r="E60" s="232"/>
      <c r="F60" s="232">
        <v>1</v>
      </c>
      <c r="G60" s="221">
        <v>20</v>
      </c>
      <c r="H60" s="221">
        <f>G60*F60</f>
        <v>20</v>
      </c>
      <c r="I60" s="165" t="s">
        <v>354</v>
      </c>
      <c r="J60" s="220"/>
    </row>
    <row r="61" spans="1:10" ht="15" x14ac:dyDescent="0.2">
      <c r="A61" s="532"/>
      <c r="B61" s="231" t="s">
        <v>158</v>
      </c>
      <c r="C61" s="219"/>
      <c r="D61" s="232"/>
      <c r="E61" s="229"/>
      <c r="F61" s="534">
        <v>1</v>
      </c>
      <c r="G61" s="221">
        <v>20</v>
      </c>
      <c r="H61" s="536">
        <v>60</v>
      </c>
      <c r="I61" s="538" t="s">
        <v>355</v>
      </c>
      <c r="J61" s="540"/>
    </row>
    <row r="62" spans="1:10" ht="18.75" x14ac:dyDescent="0.2">
      <c r="A62" s="532"/>
      <c r="B62" s="156" t="s">
        <v>356</v>
      </c>
      <c r="C62" s="157"/>
      <c r="D62" s="157"/>
      <c r="E62" s="203"/>
      <c r="F62" s="535"/>
      <c r="G62" s="159">
        <v>40</v>
      </c>
      <c r="H62" s="537"/>
      <c r="I62" s="539"/>
      <c r="J62" s="541"/>
    </row>
    <row r="63" spans="1:10" ht="18.75" x14ac:dyDescent="0.2">
      <c r="A63" s="532"/>
      <c r="B63" s="156" t="s">
        <v>357</v>
      </c>
      <c r="C63" s="157"/>
      <c r="D63" s="157"/>
      <c r="E63" s="203"/>
      <c r="F63" s="163">
        <v>1</v>
      </c>
      <c r="G63" s="160">
        <v>20</v>
      </c>
      <c r="H63" s="160">
        <f t="shared" ref="H63:H68" si="15">G63*F63</f>
        <v>20</v>
      </c>
      <c r="I63" s="186"/>
      <c r="J63" s="220"/>
    </row>
    <row r="64" spans="1:10" ht="18.75" x14ac:dyDescent="0.2">
      <c r="A64" s="532"/>
      <c r="B64" s="156" t="s">
        <v>200</v>
      </c>
      <c r="C64" s="157"/>
      <c r="D64" s="157"/>
      <c r="E64" s="203"/>
      <c r="F64" s="163">
        <v>2</v>
      </c>
      <c r="G64" s="159">
        <v>6</v>
      </c>
      <c r="H64" s="160">
        <f t="shared" si="15"/>
        <v>12</v>
      </c>
      <c r="I64" s="186"/>
      <c r="J64" s="220"/>
    </row>
    <row r="65" spans="1:10" ht="18.75" x14ac:dyDescent="0.2">
      <c r="A65" s="532"/>
      <c r="B65" s="156" t="s">
        <v>358</v>
      </c>
      <c r="C65" s="157"/>
      <c r="D65" s="157"/>
      <c r="E65" s="203"/>
      <c r="F65" s="163">
        <v>2</v>
      </c>
      <c r="G65" s="159">
        <v>14</v>
      </c>
      <c r="H65" s="160">
        <f t="shared" si="15"/>
        <v>28</v>
      </c>
      <c r="I65" s="186"/>
      <c r="J65" s="220"/>
    </row>
    <row r="66" spans="1:10" ht="18.75" x14ac:dyDescent="0.2">
      <c r="A66" s="532"/>
      <c r="B66" s="156" t="s">
        <v>19</v>
      </c>
      <c r="C66" s="157"/>
      <c r="D66" s="157"/>
      <c r="E66" s="203"/>
      <c r="F66" s="163">
        <v>1</v>
      </c>
      <c r="G66" s="159">
        <v>12</v>
      </c>
      <c r="H66" s="160">
        <f t="shared" si="15"/>
        <v>12</v>
      </c>
      <c r="I66" s="186"/>
      <c r="J66" s="220"/>
    </row>
    <row r="67" spans="1:10" ht="18.75" x14ac:dyDescent="0.2">
      <c r="A67" s="532"/>
      <c r="B67" s="156" t="s">
        <v>359</v>
      </c>
      <c r="C67" s="157"/>
      <c r="D67" s="157"/>
      <c r="E67" s="203"/>
      <c r="F67" s="163">
        <v>1</v>
      </c>
      <c r="G67" s="159">
        <v>4</v>
      </c>
      <c r="H67" s="160">
        <f t="shared" si="15"/>
        <v>4</v>
      </c>
      <c r="I67" s="186"/>
      <c r="J67" s="220"/>
    </row>
    <row r="68" spans="1:10" ht="18.75" x14ac:dyDescent="0.2">
      <c r="A68" s="532"/>
      <c r="B68" s="156" t="s">
        <v>18</v>
      </c>
      <c r="C68" s="157"/>
      <c r="D68" s="157"/>
      <c r="E68" s="203"/>
      <c r="F68" s="163">
        <v>1</v>
      </c>
      <c r="G68" s="159">
        <v>10.7</v>
      </c>
      <c r="H68" s="160">
        <f t="shared" si="15"/>
        <v>10.7</v>
      </c>
      <c r="I68" s="186"/>
      <c r="J68" s="220"/>
    </row>
    <row r="69" spans="1:10" ht="16.5" thickBot="1" x14ac:dyDescent="0.25">
      <c r="A69" s="533"/>
      <c r="B69" s="233" t="s">
        <v>33</v>
      </c>
      <c r="C69" s="234"/>
      <c r="D69" s="235">
        <f>SUM(D56:D68)</f>
        <v>0</v>
      </c>
      <c r="E69" s="235">
        <f>SUM(E56:E68)</f>
        <v>2</v>
      </c>
      <c r="F69" s="235">
        <f>SUM(F56:F68)</f>
        <v>14</v>
      </c>
      <c r="G69" s="236">
        <f>SUM(G56:G68)</f>
        <v>197</v>
      </c>
      <c r="H69" s="236">
        <f>SUM(H56:H68)</f>
        <v>217</v>
      </c>
      <c r="I69" s="237"/>
      <c r="J69" s="238"/>
    </row>
    <row r="70" spans="1:10" ht="18" x14ac:dyDescent="0.2">
      <c r="A70" s="542" t="s">
        <v>33</v>
      </c>
      <c r="B70" s="543"/>
      <c r="C70" s="239"/>
      <c r="D70" s="240">
        <f>D69+D55+D50+D42+D34+D30+D11+D22+D6</f>
        <v>45</v>
      </c>
      <c r="E70" s="240">
        <f>E69+E55+E50+E42+E34+E30+E11+E22+E6</f>
        <v>11</v>
      </c>
      <c r="F70" s="240">
        <f>F69+F55+F50+F42+F34+F30+F11</f>
        <v>61</v>
      </c>
      <c r="G70" s="241"/>
      <c r="H70" s="241">
        <f>H69+H55+H50+H42+H34+H30+H11+H22+H6</f>
        <v>801.19999999999993</v>
      </c>
      <c r="I70" s="242"/>
      <c r="J70" s="243"/>
    </row>
    <row r="71" spans="1:10" ht="21" thickBot="1" x14ac:dyDescent="0.25">
      <c r="A71" s="529" t="s">
        <v>360</v>
      </c>
      <c r="B71" s="530"/>
      <c r="C71" s="530"/>
      <c r="D71" s="530"/>
      <c r="E71" s="530"/>
      <c r="F71" s="530"/>
      <c r="G71" s="530"/>
      <c r="H71" s="244">
        <f>H70*1.75</f>
        <v>1402.1</v>
      </c>
      <c r="I71" s="245"/>
      <c r="J71" s="246"/>
    </row>
  </sheetData>
  <mergeCells count="19">
    <mergeCell ref="A2:A6"/>
    <mergeCell ref="A7:A11"/>
    <mergeCell ref="A12:A22"/>
    <mergeCell ref="J12:J14"/>
    <mergeCell ref="A23:A30"/>
    <mergeCell ref="J23:J28"/>
    <mergeCell ref="J61:J62"/>
    <mergeCell ref="A70:B70"/>
    <mergeCell ref="A31:A34"/>
    <mergeCell ref="A35:A42"/>
    <mergeCell ref="J35:J37"/>
    <mergeCell ref="A43:A50"/>
    <mergeCell ref="J43:J46"/>
    <mergeCell ref="A51:A55"/>
    <mergeCell ref="A71:G71"/>
    <mergeCell ref="A56:A69"/>
    <mergeCell ref="F61:F62"/>
    <mergeCell ref="H61:H62"/>
    <mergeCell ref="I61:I6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0"/>
  <sheetViews>
    <sheetView rightToLeft="1" view="pageBreakPreview" zoomScale="60" zoomScaleNormal="7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D61" sqref="D61"/>
    </sheetView>
  </sheetViews>
  <sheetFormatPr defaultColWidth="8.75" defaultRowHeight="34.5" customHeight="1" x14ac:dyDescent="0.2"/>
  <cols>
    <col min="1" max="1" width="15" style="142" customWidth="1"/>
    <col min="2" max="2" width="13.125" style="142" customWidth="1"/>
    <col min="3" max="3" width="9.75" style="142" customWidth="1"/>
    <col min="4" max="4" width="27.875" style="142" customWidth="1"/>
    <col min="5" max="5" width="7.625" style="142" customWidth="1"/>
    <col min="6" max="6" width="8" style="142" customWidth="1"/>
    <col min="7" max="8" width="6.875" style="142" customWidth="1"/>
    <col min="9" max="9" width="7.25" style="142" customWidth="1"/>
    <col min="10" max="10" width="6.75" style="142" customWidth="1"/>
    <col min="11" max="11" width="7.375" style="142" customWidth="1"/>
    <col min="12" max="12" width="7" style="142" customWidth="1"/>
    <col min="13" max="13" width="7.125" style="142" customWidth="1"/>
    <col min="14" max="14" width="8.625" style="142" bestFit="1" customWidth="1"/>
    <col min="15" max="15" width="6" style="142" customWidth="1"/>
    <col min="16" max="16" width="8.75" style="142"/>
    <col min="17" max="17" width="8.125" style="142" customWidth="1"/>
    <col min="18" max="18" width="7.75" style="142" customWidth="1"/>
    <col min="19" max="19" width="7.125" style="142" customWidth="1"/>
    <col min="20" max="20" width="26.75" style="142" customWidth="1"/>
    <col min="21" max="21" width="3.75" style="142" customWidth="1"/>
    <col min="22" max="23" width="0" style="142" hidden="1" customWidth="1"/>
    <col min="24" max="16384" width="8.75" style="142"/>
  </cols>
  <sheetData>
    <row r="1" spans="1:23" ht="34.5" customHeight="1" x14ac:dyDescent="0.25">
      <c r="A1" s="247"/>
      <c r="B1" s="248" t="s">
        <v>361</v>
      </c>
      <c r="C1" s="248"/>
      <c r="D1" s="249"/>
      <c r="E1" s="250"/>
      <c r="F1" s="250"/>
      <c r="G1" s="251"/>
      <c r="H1" s="251"/>
      <c r="I1" s="251"/>
      <c r="J1" s="251"/>
      <c r="K1" s="251"/>
      <c r="L1" s="251"/>
      <c r="M1" s="251"/>
      <c r="N1" s="599"/>
      <c r="O1" s="599"/>
      <c r="P1" s="252"/>
      <c r="Q1" s="252"/>
      <c r="R1" s="252"/>
      <c r="S1" s="252"/>
      <c r="T1" s="251"/>
    </row>
    <row r="2" spans="1:23" ht="34.5" customHeight="1" x14ac:dyDescent="0.25">
      <c r="A2" s="247"/>
      <c r="B2" s="248"/>
      <c r="C2" s="248"/>
      <c r="D2" s="249"/>
      <c r="E2" s="250"/>
      <c r="F2" s="250"/>
      <c r="G2" s="251"/>
      <c r="H2" s="251"/>
      <c r="I2" s="251"/>
      <c r="J2" s="251"/>
      <c r="K2" s="251"/>
      <c r="L2" s="251"/>
      <c r="M2" s="251"/>
      <c r="N2" s="599" t="s">
        <v>153</v>
      </c>
      <c r="O2" s="599"/>
      <c r="P2" s="252">
        <v>1.7</v>
      </c>
      <c r="Q2" s="252">
        <v>1.7</v>
      </c>
      <c r="R2" s="252">
        <v>1.7</v>
      </c>
      <c r="S2" s="252">
        <v>1.4</v>
      </c>
      <c r="T2" s="251"/>
    </row>
    <row r="3" spans="1:23" ht="34.5" customHeight="1" x14ac:dyDescent="0.2">
      <c r="A3" s="253"/>
      <c r="B3" s="253"/>
      <c r="C3" s="253"/>
      <c r="D3" s="253"/>
      <c r="E3" s="253"/>
      <c r="F3" s="600" t="s">
        <v>113</v>
      </c>
      <c r="G3" s="601"/>
      <c r="H3" s="601"/>
      <c r="I3" s="601"/>
      <c r="J3" s="601"/>
      <c r="K3" s="602"/>
      <c r="L3" s="253"/>
      <c r="M3" s="253"/>
      <c r="N3" s="254"/>
      <c r="O3" s="253"/>
      <c r="P3" s="600" t="s">
        <v>114</v>
      </c>
      <c r="Q3" s="601"/>
      <c r="R3" s="601"/>
      <c r="S3" s="602"/>
      <c r="T3" s="253"/>
    </row>
    <row r="4" spans="1:23" ht="69.75" customHeight="1" thickBot="1" x14ac:dyDescent="0.25">
      <c r="A4" s="603" t="s">
        <v>234</v>
      </c>
      <c r="B4" s="603"/>
      <c r="C4" s="255" t="s">
        <v>362</v>
      </c>
      <c r="D4" s="256" t="s">
        <v>115</v>
      </c>
      <c r="E4" s="256" t="s">
        <v>116</v>
      </c>
      <c r="F4" s="256" t="s">
        <v>117</v>
      </c>
      <c r="G4" s="256" t="s">
        <v>118</v>
      </c>
      <c r="H4" s="256" t="s">
        <v>119</v>
      </c>
      <c r="I4" s="256" t="s">
        <v>120</v>
      </c>
      <c r="J4" s="256" t="s">
        <v>121</v>
      </c>
      <c r="K4" s="256" t="s">
        <v>33</v>
      </c>
      <c r="L4" s="256" t="s">
        <v>122</v>
      </c>
      <c r="M4" s="256" t="s">
        <v>123</v>
      </c>
      <c r="N4" s="257" t="s">
        <v>20</v>
      </c>
      <c r="O4" s="256" t="s">
        <v>26</v>
      </c>
      <c r="P4" s="258" t="s">
        <v>124</v>
      </c>
      <c r="Q4" s="258" t="s">
        <v>125</v>
      </c>
      <c r="R4" s="256" t="s">
        <v>126</v>
      </c>
      <c r="S4" s="256" t="s">
        <v>127</v>
      </c>
      <c r="T4" s="259" t="s">
        <v>11</v>
      </c>
      <c r="V4" s="260" t="s">
        <v>29</v>
      </c>
      <c r="W4" s="261">
        <v>27.3</v>
      </c>
    </row>
    <row r="5" spans="1:23" ht="34.5" customHeight="1" x14ac:dyDescent="0.2">
      <c r="A5" s="582" t="s">
        <v>128</v>
      </c>
      <c r="B5" s="596" t="s">
        <v>129</v>
      </c>
      <c r="C5" s="593">
        <f>SUM(P5:S8)</f>
        <v>43.900000000000006</v>
      </c>
      <c r="D5" s="262" t="s">
        <v>130</v>
      </c>
      <c r="E5" s="263" t="s">
        <v>12</v>
      </c>
      <c r="F5" s="264">
        <v>1</v>
      </c>
      <c r="G5" s="265"/>
      <c r="H5" s="265"/>
      <c r="I5" s="265"/>
      <c r="J5" s="265"/>
      <c r="K5" s="266">
        <f>SUM(F5:J5)</f>
        <v>1</v>
      </c>
      <c r="L5" s="264">
        <f t="shared" ref="L5:L13" si="0">K5</f>
        <v>1</v>
      </c>
      <c r="M5" s="264">
        <f>VLOOKUP(E5,KKL,2,FALSE)</f>
        <v>15.4</v>
      </c>
      <c r="N5" s="265">
        <f t="shared" ref="N5:N52" si="1">L5*M5</f>
        <v>15.4</v>
      </c>
      <c r="O5" s="264" t="s">
        <v>27</v>
      </c>
      <c r="P5" s="265">
        <f>N5</f>
        <v>15.4</v>
      </c>
      <c r="Q5" s="265"/>
      <c r="R5" s="265"/>
      <c r="S5" s="265"/>
      <c r="T5" s="267"/>
      <c r="V5" s="260" t="s">
        <v>363</v>
      </c>
      <c r="W5" s="261">
        <v>23.3</v>
      </c>
    </row>
    <row r="6" spans="1:23" ht="34.5" customHeight="1" x14ac:dyDescent="0.2">
      <c r="A6" s="588"/>
      <c r="B6" s="577"/>
      <c r="C6" s="577"/>
      <c r="D6" s="268" t="s">
        <v>131</v>
      </c>
      <c r="E6" s="269" t="s">
        <v>15</v>
      </c>
      <c r="F6" s="270">
        <v>1</v>
      </c>
      <c r="G6" s="271"/>
      <c r="H6" s="271"/>
      <c r="I6" s="271"/>
      <c r="J6" s="271"/>
      <c r="K6" s="272">
        <f>SUM(F6:J6)</f>
        <v>1</v>
      </c>
      <c r="L6" s="270">
        <f t="shared" si="0"/>
        <v>1</v>
      </c>
      <c r="M6" s="270">
        <f>VLOOKUP(E6,KKL,2,FALSE)</f>
        <v>13.8</v>
      </c>
      <c r="N6" s="271">
        <f t="shared" si="1"/>
        <v>13.8</v>
      </c>
      <c r="O6" s="270" t="s">
        <v>27</v>
      </c>
      <c r="P6" s="271">
        <f>N6</f>
        <v>13.8</v>
      </c>
      <c r="Q6" s="271"/>
      <c r="R6" s="271"/>
      <c r="S6" s="271"/>
      <c r="T6" s="273"/>
      <c r="V6" s="260" t="s">
        <v>12</v>
      </c>
      <c r="W6" s="261">
        <v>15.4</v>
      </c>
    </row>
    <row r="7" spans="1:23" ht="34.5" customHeight="1" x14ac:dyDescent="0.2">
      <c r="A7" s="588"/>
      <c r="B7" s="577"/>
      <c r="C7" s="577"/>
      <c r="D7" s="268" t="s">
        <v>132</v>
      </c>
      <c r="E7" s="269" t="s">
        <v>364</v>
      </c>
      <c r="F7" s="270">
        <v>1</v>
      </c>
      <c r="G7" s="271"/>
      <c r="H7" s="271"/>
      <c r="I7" s="271"/>
      <c r="J7" s="271"/>
      <c r="K7" s="272">
        <v>1</v>
      </c>
      <c r="L7" s="270">
        <f t="shared" si="0"/>
        <v>1</v>
      </c>
      <c r="M7" s="270">
        <v>9.9</v>
      </c>
      <c r="N7" s="271">
        <f t="shared" si="1"/>
        <v>9.9</v>
      </c>
      <c r="O7" s="270" t="s">
        <v>27</v>
      </c>
      <c r="P7" s="271">
        <f>N7</f>
        <v>9.9</v>
      </c>
      <c r="Q7" s="271"/>
      <c r="R7" s="271"/>
      <c r="S7" s="271"/>
      <c r="T7" s="273"/>
      <c r="V7" s="260" t="s">
        <v>15</v>
      </c>
      <c r="W7" s="261">
        <v>13.8</v>
      </c>
    </row>
    <row r="8" spans="1:23" ht="34.5" customHeight="1" x14ac:dyDescent="0.2">
      <c r="A8" s="588"/>
      <c r="B8" s="577"/>
      <c r="C8" s="577"/>
      <c r="D8" s="268" t="s">
        <v>365</v>
      </c>
      <c r="E8" s="269"/>
      <c r="F8" s="270"/>
      <c r="G8" s="271"/>
      <c r="H8" s="271"/>
      <c r="I8" s="271"/>
      <c r="J8" s="271"/>
      <c r="K8" s="272"/>
      <c r="L8" s="270">
        <v>6</v>
      </c>
      <c r="M8" s="270">
        <v>0.8</v>
      </c>
      <c r="N8" s="271">
        <f t="shared" si="1"/>
        <v>4.8000000000000007</v>
      </c>
      <c r="O8" s="270" t="s">
        <v>28</v>
      </c>
      <c r="P8" s="271"/>
      <c r="Q8" s="271">
        <f>N8</f>
        <v>4.8000000000000007</v>
      </c>
      <c r="R8" s="271"/>
      <c r="S8" s="271"/>
      <c r="T8" s="273"/>
      <c r="V8" s="260" t="s">
        <v>274</v>
      </c>
      <c r="W8" s="261">
        <v>11.4</v>
      </c>
    </row>
    <row r="9" spans="1:23" ht="34.5" customHeight="1" x14ac:dyDescent="0.2">
      <c r="A9" s="588"/>
      <c r="B9" s="577" t="s">
        <v>220</v>
      </c>
      <c r="C9" s="594">
        <f>SUM(P9:S12)</f>
        <v>65.2</v>
      </c>
      <c r="D9" s="268" t="s">
        <v>157</v>
      </c>
      <c r="E9" s="269"/>
      <c r="F9" s="270"/>
      <c r="G9" s="271"/>
      <c r="H9" s="271"/>
      <c r="I9" s="271"/>
      <c r="J9" s="271"/>
      <c r="K9" s="272"/>
      <c r="L9" s="270">
        <v>3</v>
      </c>
      <c r="M9" s="270">
        <v>6.8</v>
      </c>
      <c r="N9" s="271">
        <f t="shared" si="1"/>
        <v>20.399999999999999</v>
      </c>
      <c r="O9" s="270" t="s">
        <v>28</v>
      </c>
      <c r="P9" s="271"/>
      <c r="Q9" s="271">
        <f t="shared" ref="Q9:Q12" si="2">N9</f>
        <v>20.399999999999999</v>
      </c>
      <c r="R9" s="271"/>
      <c r="S9" s="271"/>
      <c r="T9" s="273" t="s">
        <v>366</v>
      </c>
      <c r="V9" s="260"/>
      <c r="W9" s="261"/>
    </row>
    <row r="10" spans="1:23" ht="34.5" customHeight="1" x14ac:dyDescent="0.2">
      <c r="A10" s="588"/>
      <c r="B10" s="577"/>
      <c r="C10" s="577"/>
      <c r="D10" s="268" t="s">
        <v>218</v>
      </c>
      <c r="E10" s="269"/>
      <c r="F10" s="270"/>
      <c r="G10" s="271"/>
      <c r="H10" s="271"/>
      <c r="I10" s="271"/>
      <c r="J10" s="271"/>
      <c r="K10" s="272"/>
      <c r="L10" s="270">
        <v>2</v>
      </c>
      <c r="M10" s="270">
        <v>6.8</v>
      </c>
      <c r="N10" s="271">
        <f t="shared" si="1"/>
        <v>13.6</v>
      </c>
      <c r="O10" s="270" t="s">
        <v>28</v>
      </c>
      <c r="P10" s="271"/>
      <c r="Q10" s="271">
        <f t="shared" si="2"/>
        <v>13.6</v>
      </c>
      <c r="R10" s="271"/>
      <c r="S10" s="271"/>
      <c r="T10" s="273" t="s">
        <v>366</v>
      </c>
      <c r="V10" s="260"/>
      <c r="W10" s="261"/>
    </row>
    <row r="11" spans="1:23" ht="34.5" customHeight="1" x14ac:dyDescent="0.2">
      <c r="A11" s="588"/>
      <c r="B11" s="577"/>
      <c r="C11" s="577"/>
      <c r="D11" s="268" t="s">
        <v>219</v>
      </c>
      <c r="E11" s="269"/>
      <c r="F11" s="270"/>
      <c r="G11" s="271"/>
      <c r="H11" s="271"/>
      <c r="I11" s="271"/>
      <c r="J11" s="271"/>
      <c r="K11" s="272"/>
      <c r="L11" s="270">
        <v>3</v>
      </c>
      <c r="M11" s="270">
        <v>2.4</v>
      </c>
      <c r="N11" s="271">
        <f t="shared" si="1"/>
        <v>7.1999999999999993</v>
      </c>
      <c r="O11" s="270" t="s">
        <v>28</v>
      </c>
      <c r="P11" s="271"/>
      <c r="Q11" s="271">
        <f t="shared" si="2"/>
        <v>7.1999999999999993</v>
      </c>
      <c r="R11" s="271"/>
      <c r="S11" s="271"/>
      <c r="T11" s="273" t="s">
        <v>367</v>
      </c>
      <c r="V11" s="260"/>
      <c r="W11" s="261"/>
    </row>
    <row r="12" spans="1:23" ht="34.5" customHeight="1" x14ac:dyDescent="0.2">
      <c r="A12" s="588"/>
      <c r="B12" s="577"/>
      <c r="C12" s="577"/>
      <c r="D12" s="268" t="s">
        <v>368</v>
      </c>
      <c r="E12" s="269"/>
      <c r="F12" s="270"/>
      <c r="G12" s="271"/>
      <c r="H12" s="271"/>
      <c r="I12" s="271"/>
      <c r="J12" s="271"/>
      <c r="K12" s="272"/>
      <c r="L12" s="270">
        <v>30</v>
      </c>
      <c r="M12" s="270">
        <v>0.8</v>
      </c>
      <c r="N12" s="271">
        <f t="shared" si="1"/>
        <v>24</v>
      </c>
      <c r="O12" s="270" t="s">
        <v>28</v>
      </c>
      <c r="P12" s="271"/>
      <c r="Q12" s="271">
        <f t="shared" si="2"/>
        <v>24</v>
      </c>
      <c r="R12" s="271"/>
      <c r="S12" s="271"/>
      <c r="T12" s="273" t="s">
        <v>369</v>
      </c>
      <c r="V12" s="260"/>
      <c r="W12" s="261"/>
    </row>
    <row r="13" spans="1:23" ht="34.5" customHeight="1" x14ac:dyDescent="0.2">
      <c r="A13" s="588"/>
      <c r="B13" s="577" t="s">
        <v>134</v>
      </c>
      <c r="C13" s="594">
        <f>SUM(P13:S17)</f>
        <v>264.40000000000003</v>
      </c>
      <c r="D13" s="268" t="s">
        <v>135</v>
      </c>
      <c r="E13" s="269" t="s">
        <v>13</v>
      </c>
      <c r="F13" s="270">
        <v>18</v>
      </c>
      <c r="G13" s="271"/>
      <c r="H13" s="271"/>
      <c r="I13" s="271"/>
      <c r="J13" s="271">
        <v>5</v>
      </c>
      <c r="K13" s="272">
        <f>SUM(F13:J13)</f>
        <v>23</v>
      </c>
      <c r="L13" s="270">
        <f t="shared" si="0"/>
        <v>23</v>
      </c>
      <c r="M13" s="270">
        <v>9.9</v>
      </c>
      <c r="N13" s="271">
        <f t="shared" si="1"/>
        <v>227.70000000000002</v>
      </c>
      <c r="O13" s="270" t="s">
        <v>27</v>
      </c>
      <c r="P13" s="271">
        <f>N13</f>
        <v>227.70000000000002</v>
      </c>
      <c r="Q13" s="271"/>
      <c r="R13" s="271"/>
      <c r="S13" s="271"/>
      <c r="T13" s="273"/>
      <c r="V13" s="260" t="s">
        <v>13</v>
      </c>
      <c r="W13" s="261">
        <v>9.1</v>
      </c>
    </row>
    <row r="14" spans="1:23" ht="34.5" customHeight="1" x14ac:dyDescent="0.2">
      <c r="A14" s="588"/>
      <c r="B14" s="577"/>
      <c r="C14" s="577"/>
      <c r="D14" s="268" t="s">
        <v>370</v>
      </c>
      <c r="E14" s="269"/>
      <c r="F14" s="270"/>
      <c r="G14" s="271"/>
      <c r="H14" s="271"/>
      <c r="I14" s="271"/>
      <c r="J14" s="271"/>
      <c r="K14" s="272"/>
      <c r="L14" s="270">
        <v>8</v>
      </c>
      <c r="M14" s="270">
        <v>0.8</v>
      </c>
      <c r="N14" s="271">
        <f t="shared" si="1"/>
        <v>6.4</v>
      </c>
      <c r="O14" s="270" t="s">
        <v>28</v>
      </c>
      <c r="P14" s="271"/>
      <c r="Q14" s="271">
        <f>N14</f>
        <v>6.4</v>
      </c>
      <c r="R14" s="271"/>
      <c r="S14" s="271"/>
      <c r="T14" s="273" t="s">
        <v>371</v>
      </c>
      <c r="V14" s="260"/>
      <c r="W14" s="261"/>
    </row>
    <row r="15" spans="1:23" ht="34.5" customHeight="1" x14ac:dyDescent="0.2">
      <c r="A15" s="588"/>
      <c r="B15" s="577"/>
      <c r="C15" s="577"/>
      <c r="D15" s="268" t="s">
        <v>372</v>
      </c>
      <c r="E15" s="269" t="s">
        <v>373</v>
      </c>
      <c r="F15" s="270"/>
      <c r="G15" s="271"/>
      <c r="H15" s="271">
        <v>1</v>
      </c>
      <c r="I15" s="271">
        <v>1</v>
      </c>
      <c r="J15" s="271"/>
      <c r="K15" s="272">
        <f>SUM(F15:J15)</f>
        <v>2</v>
      </c>
      <c r="L15" s="270">
        <f>K15</f>
        <v>2</v>
      </c>
      <c r="M15" s="270">
        <f>VLOOKUP(E15,KKL,2,FALSE)</f>
        <v>6.8</v>
      </c>
      <c r="N15" s="271">
        <f t="shared" si="1"/>
        <v>13.6</v>
      </c>
      <c r="O15" s="270" t="s">
        <v>27</v>
      </c>
      <c r="P15" s="271">
        <f t="shared" ref="P15" si="3">N15</f>
        <v>13.6</v>
      </c>
      <c r="Q15" s="271"/>
      <c r="R15" s="271"/>
      <c r="S15" s="271"/>
      <c r="T15" s="273"/>
      <c r="V15" s="260"/>
      <c r="W15" s="261"/>
    </row>
    <row r="16" spans="1:23" ht="34.5" customHeight="1" x14ac:dyDescent="0.2">
      <c r="A16" s="588"/>
      <c r="B16" s="577"/>
      <c r="C16" s="577"/>
      <c r="D16" s="268" t="s">
        <v>136</v>
      </c>
      <c r="E16" s="269" t="s">
        <v>374</v>
      </c>
      <c r="F16" s="270"/>
      <c r="G16" s="271"/>
      <c r="H16" s="271"/>
      <c r="I16" s="271"/>
      <c r="J16" s="271"/>
      <c r="K16" s="272"/>
      <c r="L16" s="270">
        <v>1</v>
      </c>
      <c r="M16" s="270">
        <v>6.8</v>
      </c>
      <c r="N16" s="271">
        <f t="shared" si="1"/>
        <v>6.8</v>
      </c>
      <c r="O16" s="270" t="s">
        <v>28</v>
      </c>
      <c r="P16" s="271"/>
      <c r="Q16" s="271">
        <f>N16</f>
        <v>6.8</v>
      </c>
      <c r="R16" s="271"/>
      <c r="S16" s="271"/>
      <c r="T16" s="273"/>
      <c r="V16" s="260" t="s">
        <v>375</v>
      </c>
      <c r="W16" s="261">
        <v>9.1</v>
      </c>
    </row>
    <row r="17" spans="1:23" ht="34.5" customHeight="1" x14ac:dyDescent="0.2">
      <c r="A17" s="588"/>
      <c r="B17" s="577"/>
      <c r="C17" s="577"/>
      <c r="D17" s="268" t="s">
        <v>221</v>
      </c>
      <c r="E17" s="269"/>
      <c r="F17" s="270"/>
      <c r="G17" s="271"/>
      <c r="H17" s="271"/>
      <c r="I17" s="271"/>
      <c r="J17" s="271"/>
      <c r="K17" s="272"/>
      <c r="L17" s="270">
        <v>1</v>
      </c>
      <c r="M17" s="270">
        <v>9.9</v>
      </c>
      <c r="N17" s="271">
        <f t="shared" si="1"/>
        <v>9.9</v>
      </c>
      <c r="O17" s="270" t="s">
        <v>27</v>
      </c>
      <c r="P17" s="271">
        <f>N17</f>
        <v>9.9</v>
      </c>
      <c r="Q17" s="271"/>
      <c r="R17" s="271"/>
      <c r="S17" s="271"/>
      <c r="T17" s="273"/>
      <c r="V17" s="260" t="s">
        <v>376</v>
      </c>
      <c r="W17" s="261">
        <v>13.8</v>
      </c>
    </row>
    <row r="18" spans="1:23" ht="34.5" customHeight="1" x14ac:dyDescent="0.2">
      <c r="A18" s="588"/>
      <c r="B18" s="577" t="s">
        <v>377</v>
      </c>
      <c r="C18" s="594">
        <f>SUM(P18:S23)</f>
        <v>87.1</v>
      </c>
      <c r="D18" s="274" t="s">
        <v>147</v>
      </c>
      <c r="E18" s="275">
        <v>1000</v>
      </c>
      <c r="F18" s="276"/>
      <c r="G18" s="276"/>
      <c r="H18" s="276"/>
      <c r="I18" s="276"/>
      <c r="J18" s="271"/>
      <c r="K18" s="272"/>
      <c r="L18" s="270">
        <v>1</v>
      </c>
      <c r="M18" s="270">
        <v>15.4</v>
      </c>
      <c r="N18" s="271">
        <f t="shared" si="1"/>
        <v>15.4</v>
      </c>
      <c r="O18" s="270" t="s">
        <v>28</v>
      </c>
      <c r="P18" s="271"/>
      <c r="Q18" s="271">
        <f>M18</f>
        <v>15.4</v>
      </c>
      <c r="R18" s="271"/>
      <c r="S18" s="271"/>
      <c r="T18" s="273"/>
      <c r="V18" s="260" t="s">
        <v>374</v>
      </c>
      <c r="W18" s="261">
        <v>7.7</v>
      </c>
    </row>
    <row r="19" spans="1:23" ht="34.5" customHeight="1" x14ac:dyDescent="0.2">
      <c r="A19" s="588"/>
      <c r="B19" s="577"/>
      <c r="C19" s="577"/>
      <c r="D19" s="274" t="s">
        <v>226</v>
      </c>
      <c r="E19" s="275">
        <v>300</v>
      </c>
      <c r="F19" s="276"/>
      <c r="G19" s="276"/>
      <c r="H19" s="276"/>
      <c r="I19" s="276"/>
      <c r="J19" s="271"/>
      <c r="K19" s="272"/>
      <c r="L19" s="270">
        <v>1</v>
      </c>
      <c r="M19" s="270">
        <v>5</v>
      </c>
      <c r="N19" s="271">
        <f t="shared" si="1"/>
        <v>5</v>
      </c>
      <c r="O19" s="276" t="s">
        <v>28</v>
      </c>
      <c r="P19" s="271"/>
      <c r="Q19" s="271">
        <f t="shared" ref="Q19:Q23" si="4">M19</f>
        <v>5</v>
      </c>
      <c r="R19" s="271"/>
      <c r="S19" s="271"/>
      <c r="T19" s="273"/>
      <c r="V19" s="260"/>
      <c r="W19" s="261"/>
    </row>
    <row r="20" spans="1:23" ht="34.5" customHeight="1" x14ac:dyDescent="0.2">
      <c r="A20" s="588"/>
      <c r="B20" s="577"/>
      <c r="C20" s="577"/>
      <c r="D20" s="277" t="s">
        <v>150</v>
      </c>
      <c r="E20" s="277"/>
      <c r="F20" s="278"/>
      <c r="G20" s="278"/>
      <c r="H20" s="278"/>
      <c r="I20" s="278"/>
      <c r="J20" s="278"/>
      <c r="K20" s="272"/>
      <c r="L20" s="278">
        <v>1</v>
      </c>
      <c r="M20" s="278">
        <v>6.8</v>
      </c>
      <c r="N20" s="278">
        <f t="shared" ref="N20:N21" si="5">M20*L20</f>
        <v>6.8</v>
      </c>
      <c r="O20" s="278" t="s">
        <v>27</v>
      </c>
      <c r="P20" s="278"/>
      <c r="Q20" s="271">
        <f t="shared" si="4"/>
        <v>6.8</v>
      </c>
      <c r="R20" s="271"/>
      <c r="S20" s="271"/>
      <c r="T20" s="273"/>
      <c r="V20" s="260"/>
      <c r="W20" s="261"/>
    </row>
    <row r="21" spans="1:23" ht="34.5" customHeight="1" x14ac:dyDescent="0.2">
      <c r="A21" s="588"/>
      <c r="B21" s="577"/>
      <c r="C21" s="577"/>
      <c r="D21" s="277" t="s">
        <v>151</v>
      </c>
      <c r="E21" s="277"/>
      <c r="F21" s="278"/>
      <c r="G21" s="278"/>
      <c r="H21" s="278"/>
      <c r="I21" s="278"/>
      <c r="J21" s="278"/>
      <c r="K21" s="272"/>
      <c r="L21" s="278">
        <v>1</v>
      </c>
      <c r="M21" s="278">
        <v>9.9</v>
      </c>
      <c r="N21" s="278">
        <f t="shared" si="5"/>
        <v>9.9</v>
      </c>
      <c r="O21" s="278" t="s">
        <v>27</v>
      </c>
      <c r="P21" s="278"/>
      <c r="Q21" s="271">
        <f t="shared" si="4"/>
        <v>9.9</v>
      </c>
      <c r="R21" s="271"/>
      <c r="S21" s="271"/>
      <c r="T21" s="273"/>
      <c r="V21" s="260"/>
      <c r="W21" s="261"/>
    </row>
    <row r="22" spans="1:23" ht="34.5" customHeight="1" x14ac:dyDescent="0.2">
      <c r="A22" s="588"/>
      <c r="B22" s="577"/>
      <c r="C22" s="577"/>
      <c r="D22" s="274" t="s">
        <v>378</v>
      </c>
      <c r="E22" s="275">
        <v>1000</v>
      </c>
      <c r="F22" s="276"/>
      <c r="G22" s="276"/>
      <c r="H22" s="276"/>
      <c r="I22" s="276"/>
      <c r="J22" s="271"/>
      <c r="K22" s="272"/>
      <c r="L22" s="270">
        <v>1</v>
      </c>
      <c r="M22" s="270">
        <v>25</v>
      </c>
      <c r="N22" s="271">
        <f t="shared" si="1"/>
        <v>25</v>
      </c>
      <c r="O22" s="276" t="s">
        <v>27</v>
      </c>
      <c r="P22" s="271"/>
      <c r="Q22" s="271">
        <f t="shared" si="4"/>
        <v>25</v>
      </c>
      <c r="R22" s="271"/>
      <c r="S22" s="271"/>
      <c r="T22" s="273"/>
      <c r="V22" s="260"/>
      <c r="W22" s="261"/>
    </row>
    <row r="23" spans="1:23" ht="34.5" customHeight="1" thickBot="1" x14ac:dyDescent="0.25">
      <c r="A23" s="583"/>
      <c r="B23" s="578"/>
      <c r="C23" s="578"/>
      <c r="D23" s="279" t="s">
        <v>379</v>
      </c>
      <c r="E23" s="280"/>
      <c r="F23" s="281"/>
      <c r="G23" s="282"/>
      <c r="H23" s="282"/>
      <c r="I23" s="282"/>
      <c r="J23" s="282"/>
      <c r="K23" s="283"/>
      <c r="L23" s="281">
        <v>1</v>
      </c>
      <c r="M23" s="281">
        <v>25</v>
      </c>
      <c r="N23" s="282">
        <v>25</v>
      </c>
      <c r="O23" s="281" t="s">
        <v>27</v>
      </c>
      <c r="P23" s="282"/>
      <c r="Q23" s="271">
        <f t="shared" si="4"/>
        <v>25</v>
      </c>
      <c r="R23" s="282"/>
      <c r="S23" s="282"/>
      <c r="T23" s="284"/>
      <c r="V23" s="260" t="s">
        <v>154</v>
      </c>
      <c r="W23" s="261">
        <v>6.8</v>
      </c>
    </row>
    <row r="24" spans="1:23" ht="34.5" customHeight="1" x14ac:dyDescent="0.2">
      <c r="A24" s="582" t="s">
        <v>139</v>
      </c>
      <c r="B24" s="596" t="s">
        <v>25</v>
      </c>
      <c r="C24" s="597">
        <f>SUM(C18)</f>
        <v>87.1</v>
      </c>
      <c r="D24" s="262" t="s">
        <v>140</v>
      </c>
      <c r="E24" s="263" t="s">
        <v>12</v>
      </c>
      <c r="F24" s="264">
        <v>1</v>
      </c>
      <c r="G24" s="265"/>
      <c r="H24" s="265"/>
      <c r="I24" s="265"/>
      <c r="J24" s="265"/>
      <c r="K24" s="266">
        <f>SUM(F24:J24)</f>
        <v>1</v>
      </c>
      <c r="L24" s="264">
        <f>K24</f>
        <v>1</v>
      </c>
      <c r="M24" s="264">
        <f>VLOOKUP(E24,KKL,2,FALSE)</f>
        <v>15.4</v>
      </c>
      <c r="N24" s="265">
        <f t="shared" si="1"/>
        <v>15.4</v>
      </c>
      <c r="O24" s="264" t="s">
        <v>27</v>
      </c>
      <c r="P24" s="265">
        <f t="shared" ref="P24:P27" si="6">N24</f>
        <v>15.4</v>
      </c>
      <c r="Q24" s="265"/>
      <c r="R24" s="265"/>
      <c r="S24" s="265"/>
      <c r="T24" s="267" t="s">
        <v>380</v>
      </c>
      <c r="V24" s="260" t="s">
        <v>364</v>
      </c>
      <c r="W24" s="261">
        <v>9.1</v>
      </c>
    </row>
    <row r="25" spans="1:23" ht="34.5" customHeight="1" x14ac:dyDescent="0.2">
      <c r="A25" s="588"/>
      <c r="B25" s="577"/>
      <c r="C25" s="598"/>
      <c r="D25" s="268" t="s">
        <v>224</v>
      </c>
      <c r="E25" s="269"/>
      <c r="F25" s="270"/>
      <c r="G25" s="271"/>
      <c r="H25" s="271"/>
      <c r="I25" s="271"/>
      <c r="J25" s="271"/>
      <c r="K25" s="272"/>
      <c r="L25" s="270">
        <v>6</v>
      </c>
      <c r="M25" s="270">
        <v>0.8</v>
      </c>
      <c r="N25" s="271">
        <f t="shared" si="1"/>
        <v>4.8000000000000007</v>
      </c>
      <c r="O25" s="270" t="s">
        <v>28</v>
      </c>
      <c r="P25" s="271"/>
      <c r="Q25" s="271">
        <f>N25</f>
        <v>4.8000000000000007</v>
      </c>
      <c r="R25" s="271"/>
      <c r="S25" s="271"/>
      <c r="T25" s="273"/>
      <c r="V25" s="260"/>
      <c r="W25" s="261"/>
    </row>
    <row r="26" spans="1:23" ht="34.5" customHeight="1" x14ac:dyDescent="0.2">
      <c r="A26" s="588"/>
      <c r="B26" s="577"/>
      <c r="C26" s="598"/>
      <c r="D26" s="277" t="s">
        <v>149</v>
      </c>
      <c r="E26" s="277"/>
      <c r="F26" s="278"/>
      <c r="G26" s="278"/>
      <c r="H26" s="278"/>
      <c r="I26" s="278"/>
      <c r="J26" s="278"/>
      <c r="K26" s="272"/>
      <c r="L26" s="278">
        <v>1</v>
      </c>
      <c r="M26" s="278">
        <v>6.8</v>
      </c>
      <c r="N26" s="278">
        <f>M26*L26</f>
        <v>6.8</v>
      </c>
      <c r="O26" s="278" t="s">
        <v>27</v>
      </c>
      <c r="P26" s="278"/>
      <c r="Q26" s="271"/>
      <c r="R26" s="271">
        <f>N26</f>
        <v>6.8</v>
      </c>
      <c r="S26" s="271"/>
      <c r="T26" s="273" t="s">
        <v>381</v>
      </c>
      <c r="V26" s="260"/>
      <c r="W26" s="261"/>
    </row>
    <row r="27" spans="1:23" ht="34.5" customHeight="1" x14ac:dyDescent="0.2">
      <c r="A27" s="588"/>
      <c r="B27" s="577"/>
      <c r="C27" s="595"/>
      <c r="D27" s="268" t="s">
        <v>141</v>
      </c>
      <c r="E27" s="269" t="s">
        <v>382</v>
      </c>
      <c r="F27" s="270">
        <v>1</v>
      </c>
      <c r="G27" s="271"/>
      <c r="H27" s="271"/>
      <c r="I27" s="271"/>
      <c r="J27" s="271"/>
      <c r="K27" s="272">
        <f>SUM(F27:J27)</f>
        <v>1</v>
      </c>
      <c r="L27" s="270">
        <f>K27</f>
        <v>1</v>
      </c>
      <c r="M27" s="270">
        <v>9.9</v>
      </c>
      <c r="N27" s="271">
        <f t="shared" si="1"/>
        <v>9.9</v>
      </c>
      <c r="O27" s="270" t="s">
        <v>27</v>
      </c>
      <c r="P27" s="271">
        <f t="shared" si="6"/>
        <v>9.9</v>
      </c>
      <c r="Q27" s="271"/>
      <c r="R27" s="271"/>
      <c r="S27" s="271"/>
      <c r="T27" s="273"/>
      <c r="V27" s="260" t="s">
        <v>382</v>
      </c>
      <c r="W27" s="261">
        <v>13.8</v>
      </c>
    </row>
    <row r="28" spans="1:23" ht="34.5" customHeight="1" x14ac:dyDescent="0.2">
      <c r="A28" s="588"/>
      <c r="B28" s="577" t="s">
        <v>222</v>
      </c>
      <c r="C28" s="594">
        <f>SUM(P28:S29)</f>
        <v>26.6</v>
      </c>
      <c r="D28" s="268" t="s">
        <v>142</v>
      </c>
      <c r="E28" s="269" t="s">
        <v>13</v>
      </c>
      <c r="F28" s="270">
        <v>1</v>
      </c>
      <c r="G28" s="271"/>
      <c r="H28" s="271"/>
      <c r="I28" s="271"/>
      <c r="J28" s="271">
        <v>1</v>
      </c>
      <c r="K28" s="272">
        <f>SUM(F28:J28)</f>
        <v>2</v>
      </c>
      <c r="L28" s="270">
        <f>K28</f>
        <v>2</v>
      </c>
      <c r="M28" s="270">
        <v>9.9</v>
      </c>
      <c r="N28" s="271">
        <f>L28*M28</f>
        <v>19.8</v>
      </c>
      <c r="O28" s="270" t="s">
        <v>27</v>
      </c>
      <c r="P28" s="271">
        <f>N28</f>
        <v>19.8</v>
      </c>
      <c r="Q28" s="271"/>
      <c r="R28" s="271"/>
      <c r="S28" s="271"/>
      <c r="T28" s="273"/>
      <c r="V28" s="260"/>
      <c r="W28" s="261"/>
    </row>
    <row r="29" spans="1:23" ht="34.5" customHeight="1" x14ac:dyDescent="0.2">
      <c r="A29" s="588"/>
      <c r="B29" s="577"/>
      <c r="C29" s="577"/>
      <c r="D29" s="268" t="s">
        <v>143</v>
      </c>
      <c r="E29" s="269" t="s">
        <v>373</v>
      </c>
      <c r="F29" s="270"/>
      <c r="G29" s="271"/>
      <c r="H29" s="271">
        <v>1</v>
      </c>
      <c r="I29" s="271"/>
      <c r="J29" s="271"/>
      <c r="K29" s="272">
        <f>SUM(F29:J29)</f>
        <v>1</v>
      </c>
      <c r="L29" s="270">
        <f>K29</f>
        <v>1</v>
      </c>
      <c r="M29" s="270">
        <f>VLOOKUP(E29,KKL,2,FALSE)</f>
        <v>6.8</v>
      </c>
      <c r="N29" s="271">
        <f t="shared" ref="N29:N32" si="7">L29*M29</f>
        <v>6.8</v>
      </c>
      <c r="O29" s="270" t="s">
        <v>27</v>
      </c>
      <c r="P29" s="271">
        <f t="shared" ref="P29:P30" si="8">N29</f>
        <v>6.8</v>
      </c>
      <c r="Q29" s="271"/>
      <c r="R29" s="271"/>
      <c r="S29" s="271"/>
      <c r="T29" s="273"/>
      <c r="V29" s="260"/>
      <c r="W29" s="261"/>
    </row>
    <row r="30" spans="1:23" ht="34.5" customHeight="1" x14ac:dyDescent="0.2">
      <c r="A30" s="588"/>
      <c r="B30" s="577" t="s">
        <v>223</v>
      </c>
      <c r="C30" s="579">
        <f>SUM(P30:S33)</f>
        <v>74.2</v>
      </c>
      <c r="D30" s="268" t="s">
        <v>144</v>
      </c>
      <c r="E30" s="269"/>
      <c r="F30" s="270"/>
      <c r="G30" s="271"/>
      <c r="H30" s="271"/>
      <c r="I30" s="271"/>
      <c r="J30" s="271"/>
      <c r="K30" s="272"/>
      <c r="L30" s="270">
        <v>1</v>
      </c>
      <c r="M30" s="270">
        <v>35</v>
      </c>
      <c r="N30" s="271">
        <f t="shared" si="7"/>
        <v>35</v>
      </c>
      <c r="O30" s="270" t="s">
        <v>27</v>
      </c>
      <c r="P30" s="271">
        <f t="shared" si="8"/>
        <v>35</v>
      </c>
      <c r="Q30" s="271"/>
      <c r="R30" s="271"/>
      <c r="S30" s="271"/>
      <c r="T30" s="273" t="s">
        <v>383</v>
      </c>
      <c r="V30" s="260"/>
      <c r="W30" s="261"/>
    </row>
    <row r="31" spans="1:23" ht="34.5" customHeight="1" x14ac:dyDescent="0.2">
      <c r="A31" s="588"/>
      <c r="B31" s="577"/>
      <c r="C31" s="580"/>
      <c r="D31" s="268" t="s">
        <v>225</v>
      </c>
      <c r="E31" s="269"/>
      <c r="F31" s="270"/>
      <c r="G31" s="271"/>
      <c r="H31" s="271"/>
      <c r="I31" s="271"/>
      <c r="J31" s="271"/>
      <c r="K31" s="272"/>
      <c r="L31" s="270">
        <v>2</v>
      </c>
      <c r="M31" s="270">
        <v>6.8</v>
      </c>
      <c r="N31" s="271">
        <f t="shared" si="7"/>
        <v>13.6</v>
      </c>
      <c r="O31" s="270" t="s">
        <v>28</v>
      </c>
      <c r="P31" s="271"/>
      <c r="Q31" s="271">
        <f t="shared" ref="Q31:Q32" si="9">N31</f>
        <v>13.6</v>
      </c>
      <c r="R31" s="271"/>
      <c r="S31" s="271"/>
      <c r="T31" s="273" t="s">
        <v>366</v>
      </c>
      <c r="V31" s="260"/>
      <c r="W31" s="261"/>
    </row>
    <row r="32" spans="1:23" ht="34.5" customHeight="1" x14ac:dyDescent="0.2">
      <c r="A32" s="588"/>
      <c r="B32" s="577"/>
      <c r="C32" s="580"/>
      <c r="D32" s="268" t="s">
        <v>157</v>
      </c>
      <c r="E32" s="269"/>
      <c r="F32" s="270"/>
      <c r="G32" s="271"/>
      <c r="H32" s="271"/>
      <c r="I32" s="271"/>
      <c r="J32" s="271"/>
      <c r="K32" s="272"/>
      <c r="L32" s="270">
        <v>2</v>
      </c>
      <c r="M32" s="270">
        <v>6.8</v>
      </c>
      <c r="N32" s="271">
        <f t="shared" si="7"/>
        <v>13.6</v>
      </c>
      <c r="O32" s="270" t="s">
        <v>28</v>
      </c>
      <c r="P32" s="271"/>
      <c r="Q32" s="271">
        <f t="shared" si="9"/>
        <v>13.6</v>
      </c>
      <c r="R32" s="271"/>
      <c r="S32" s="271"/>
      <c r="T32" s="273"/>
      <c r="V32" s="260"/>
      <c r="W32" s="261"/>
    </row>
    <row r="33" spans="1:23" ht="34.5" customHeight="1" x14ac:dyDescent="0.2">
      <c r="A33" s="588"/>
      <c r="B33" s="577"/>
      <c r="C33" s="591"/>
      <c r="D33" s="268" t="s">
        <v>138</v>
      </c>
      <c r="E33" s="269"/>
      <c r="F33" s="270"/>
      <c r="G33" s="271"/>
      <c r="H33" s="271"/>
      <c r="I33" s="271"/>
      <c r="J33" s="271"/>
      <c r="K33" s="272"/>
      <c r="L33" s="270">
        <v>15</v>
      </c>
      <c r="M33" s="270">
        <v>0.8</v>
      </c>
      <c r="N33" s="271">
        <f t="shared" si="1"/>
        <v>12</v>
      </c>
      <c r="O33" s="270" t="s">
        <v>28</v>
      </c>
      <c r="P33" s="271"/>
      <c r="Q33" s="271">
        <f>N33</f>
        <v>12</v>
      </c>
      <c r="R33" s="271"/>
      <c r="S33" s="271"/>
      <c r="T33" s="273" t="s">
        <v>369</v>
      </c>
      <c r="V33" s="260" t="s">
        <v>373</v>
      </c>
      <c r="W33" s="261">
        <v>6.8</v>
      </c>
    </row>
    <row r="34" spans="1:23" ht="34.5" customHeight="1" x14ac:dyDescent="0.2">
      <c r="A34" s="588"/>
      <c r="B34" s="577" t="s">
        <v>137</v>
      </c>
      <c r="C34" s="579">
        <f>SUM(P34:S37)</f>
        <v>32.54</v>
      </c>
      <c r="D34" s="274" t="s">
        <v>226</v>
      </c>
      <c r="E34" s="275">
        <v>300</v>
      </c>
      <c r="F34" s="276"/>
      <c r="G34" s="276"/>
      <c r="H34" s="276"/>
      <c r="I34" s="276"/>
      <c r="J34" s="271"/>
      <c r="K34" s="272"/>
      <c r="L34" s="270">
        <v>1</v>
      </c>
      <c r="M34" s="270">
        <v>5</v>
      </c>
      <c r="N34" s="271">
        <f t="shared" si="1"/>
        <v>5</v>
      </c>
      <c r="O34" s="276" t="s">
        <v>28</v>
      </c>
      <c r="P34" s="271"/>
      <c r="Q34" s="271">
        <f t="shared" ref="Q34" si="10">M34</f>
        <v>5</v>
      </c>
      <c r="R34" s="271"/>
      <c r="S34" s="271"/>
      <c r="T34" s="273"/>
    </row>
    <row r="35" spans="1:23" ht="34.5" customHeight="1" x14ac:dyDescent="0.2">
      <c r="A35" s="588"/>
      <c r="B35" s="577"/>
      <c r="C35" s="580"/>
      <c r="D35" s="268" t="s">
        <v>227</v>
      </c>
      <c r="E35" s="269"/>
      <c r="F35" s="270"/>
      <c r="G35" s="271"/>
      <c r="H35" s="271"/>
      <c r="I35" s="271"/>
      <c r="J35" s="271"/>
      <c r="K35" s="272"/>
      <c r="L35" s="270">
        <v>1</v>
      </c>
      <c r="M35" s="270">
        <v>9.9</v>
      </c>
      <c r="N35" s="271">
        <v>9.9</v>
      </c>
      <c r="O35" s="270" t="s">
        <v>27</v>
      </c>
      <c r="P35" s="271"/>
      <c r="Q35" s="271">
        <f>N35</f>
        <v>9.9</v>
      </c>
      <c r="R35" s="271"/>
      <c r="S35" s="271"/>
      <c r="T35" s="273"/>
    </row>
    <row r="36" spans="1:23" ht="34.5" customHeight="1" x14ac:dyDescent="0.2">
      <c r="A36" s="588"/>
      <c r="B36" s="577"/>
      <c r="C36" s="580"/>
      <c r="D36" s="274" t="s">
        <v>147</v>
      </c>
      <c r="E36" s="275">
        <v>500</v>
      </c>
      <c r="F36" s="276"/>
      <c r="G36" s="276"/>
      <c r="H36" s="276"/>
      <c r="I36" s="276"/>
      <c r="J36" s="271"/>
      <c r="K36" s="272"/>
      <c r="L36" s="270">
        <v>1</v>
      </c>
      <c r="M36" s="270">
        <v>7.74</v>
      </c>
      <c r="N36" s="271">
        <f t="shared" ref="N36" si="11">L36*M36</f>
        <v>7.74</v>
      </c>
      <c r="O36" s="270" t="s">
        <v>28</v>
      </c>
      <c r="P36" s="271"/>
      <c r="Q36" s="271">
        <f>M36</f>
        <v>7.74</v>
      </c>
      <c r="R36" s="271"/>
      <c r="S36" s="271"/>
      <c r="T36" s="273"/>
    </row>
    <row r="37" spans="1:23" ht="34.5" customHeight="1" thickBot="1" x14ac:dyDescent="0.25">
      <c r="A37" s="583"/>
      <c r="B37" s="578"/>
      <c r="C37" s="581"/>
      <c r="D37" s="285" t="s">
        <v>151</v>
      </c>
      <c r="E37" s="285"/>
      <c r="F37" s="286"/>
      <c r="G37" s="286"/>
      <c r="H37" s="286"/>
      <c r="I37" s="286"/>
      <c r="J37" s="286"/>
      <c r="K37" s="283"/>
      <c r="L37" s="286">
        <v>1</v>
      </c>
      <c r="M37" s="286">
        <v>9.9</v>
      </c>
      <c r="N37" s="286">
        <f t="shared" ref="N37" si="12">M37*L37</f>
        <v>9.9</v>
      </c>
      <c r="O37" s="286" t="s">
        <v>27</v>
      </c>
      <c r="P37" s="286"/>
      <c r="Q37" s="282">
        <f>N37</f>
        <v>9.9</v>
      </c>
      <c r="R37" s="282"/>
      <c r="S37" s="282"/>
      <c r="T37" s="284"/>
    </row>
    <row r="38" spans="1:23" ht="34.5" customHeight="1" x14ac:dyDescent="0.2">
      <c r="A38" s="582" t="s">
        <v>145</v>
      </c>
      <c r="B38" s="592" t="s">
        <v>25</v>
      </c>
      <c r="C38" s="593">
        <f>SUM(P38:S39)</f>
        <v>20.200000000000003</v>
      </c>
      <c r="D38" s="262" t="s">
        <v>140</v>
      </c>
      <c r="E38" s="263" t="s">
        <v>12</v>
      </c>
      <c r="F38" s="264">
        <v>1</v>
      </c>
      <c r="G38" s="265"/>
      <c r="H38" s="265"/>
      <c r="I38" s="265"/>
      <c r="J38" s="265"/>
      <c r="K38" s="266">
        <f>SUM(F38:J38)</f>
        <v>1</v>
      </c>
      <c r="L38" s="264">
        <f>K38</f>
        <v>1</v>
      </c>
      <c r="M38" s="264">
        <f>VLOOKUP(E38,KKL,2,FALSE)</f>
        <v>15.4</v>
      </c>
      <c r="N38" s="265">
        <f t="shared" ref="N38:N43" si="13">L38*M38</f>
        <v>15.4</v>
      </c>
      <c r="O38" s="264" t="s">
        <v>27</v>
      </c>
      <c r="P38" s="265">
        <f>N38</f>
        <v>15.4</v>
      </c>
      <c r="Q38" s="265"/>
      <c r="R38" s="265"/>
      <c r="S38" s="265"/>
      <c r="T38" s="267"/>
      <c r="V38" s="260" t="s">
        <v>364</v>
      </c>
      <c r="W38" s="261">
        <v>9.1</v>
      </c>
    </row>
    <row r="39" spans="1:23" ht="34.5" customHeight="1" x14ac:dyDescent="0.2">
      <c r="A39" s="588"/>
      <c r="B39" s="580"/>
      <c r="C39" s="594"/>
      <c r="D39" s="268" t="s">
        <v>224</v>
      </c>
      <c r="E39" s="269"/>
      <c r="F39" s="270"/>
      <c r="G39" s="271"/>
      <c r="H39" s="271"/>
      <c r="I39" s="271"/>
      <c r="J39" s="271"/>
      <c r="K39" s="272"/>
      <c r="L39" s="270">
        <v>6</v>
      </c>
      <c r="M39" s="270">
        <v>0.8</v>
      </c>
      <c r="N39" s="271">
        <f t="shared" si="13"/>
        <v>4.8000000000000007</v>
      </c>
      <c r="O39" s="270" t="s">
        <v>28</v>
      </c>
      <c r="P39" s="271"/>
      <c r="Q39" s="271">
        <f>N39</f>
        <v>4.8000000000000007</v>
      </c>
      <c r="R39" s="271"/>
      <c r="S39" s="271"/>
      <c r="T39" s="273"/>
      <c r="V39" s="260"/>
      <c r="W39" s="261"/>
    </row>
    <row r="40" spans="1:23" ht="34.5" customHeight="1" x14ac:dyDescent="0.2">
      <c r="A40" s="588"/>
      <c r="B40" s="591"/>
      <c r="C40" s="594"/>
      <c r="D40" s="268" t="s">
        <v>141</v>
      </c>
      <c r="E40" s="269" t="s">
        <v>382</v>
      </c>
      <c r="F40" s="270">
        <v>1</v>
      </c>
      <c r="G40" s="271"/>
      <c r="H40" s="271"/>
      <c r="I40" s="271"/>
      <c r="J40" s="271"/>
      <c r="K40" s="272">
        <f>SUM(F40:J40)</f>
        <v>1</v>
      </c>
      <c r="L40" s="270">
        <f>K40</f>
        <v>1</v>
      </c>
      <c r="M40" s="270">
        <v>9.9</v>
      </c>
      <c r="N40" s="271">
        <f t="shared" si="13"/>
        <v>9.9</v>
      </c>
      <c r="O40" s="270" t="s">
        <v>27</v>
      </c>
      <c r="P40" s="271">
        <f>N40</f>
        <v>9.9</v>
      </c>
      <c r="Q40" s="271"/>
      <c r="R40" s="271"/>
      <c r="S40" s="271"/>
      <c r="T40" s="273"/>
      <c r="V40" s="260"/>
      <c r="W40" s="261"/>
    </row>
    <row r="41" spans="1:23" ht="34.5" customHeight="1" x14ac:dyDescent="0.2">
      <c r="A41" s="588"/>
      <c r="B41" s="577" t="s">
        <v>228</v>
      </c>
      <c r="C41" s="579">
        <f>SUM(P41:S42)</f>
        <v>10</v>
      </c>
      <c r="D41" s="268" t="s">
        <v>230</v>
      </c>
      <c r="E41" s="269"/>
      <c r="F41" s="270"/>
      <c r="G41" s="271"/>
      <c r="H41" s="271"/>
      <c r="I41" s="271"/>
      <c r="J41" s="271"/>
      <c r="K41" s="272"/>
      <c r="L41" s="270">
        <v>1</v>
      </c>
      <c r="M41" s="270">
        <v>6.8</v>
      </c>
      <c r="N41" s="271">
        <f t="shared" si="13"/>
        <v>6.8</v>
      </c>
      <c r="O41" s="270" t="s">
        <v>28</v>
      </c>
      <c r="P41" s="271"/>
      <c r="Q41" s="271">
        <f t="shared" ref="Q41" si="14">N41</f>
        <v>6.8</v>
      </c>
      <c r="R41" s="271"/>
      <c r="S41" s="271"/>
      <c r="T41" s="273"/>
      <c r="V41" s="260" t="s">
        <v>382</v>
      </c>
      <c r="W41" s="261">
        <v>13.8</v>
      </c>
    </row>
    <row r="42" spans="1:23" ht="34.5" customHeight="1" x14ac:dyDescent="0.2">
      <c r="A42" s="588"/>
      <c r="B42" s="577"/>
      <c r="C42" s="595"/>
      <c r="D42" s="268" t="s">
        <v>138</v>
      </c>
      <c r="E42" s="269"/>
      <c r="F42" s="270"/>
      <c r="G42" s="271"/>
      <c r="H42" s="271"/>
      <c r="I42" s="271"/>
      <c r="J42" s="271"/>
      <c r="K42" s="272"/>
      <c r="L42" s="270">
        <v>4</v>
      </c>
      <c r="M42" s="270">
        <v>0.8</v>
      </c>
      <c r="N42" s="271">
        <f t="shared" si="13"/>
        <v>3.2</v>
      </c>
      <c r="O42" s="270" t="s">
        <v>28</v>
      </c>
      <c r="P42" s="271"/>
      <c r="Q42" s="271">
        <f>N42</f>
        <v>3.2</v>
      </c>
      <c r="R42" s="271"/>
      <c r="S42" s="271"/>
      <c r="T42" s="273"/>
      <c r="V42" s="260" t="s">
        <v>373</v>
      </c>
      <c r="W42" s="261">
        <v>6.8</v>
      </c>
    </row>
    <row r="43" spans="1:23" ht="34.5" customHeight="1" x14ac:dyDescent="0.2">
      <c r="A43" s="588"/>
      <c r="B43" s="577" t="s">
        <v>229</v>
      </c>
      <c r="C43" s="579">
        <f>SUM(P43:S44)</f>
        <v>23.5</v>
      </c>
      <c r="D43" s="268" t="s">
        <v>231</v>
      </c>
      <c r="E43" s="269" t="s">
        <v>13</v>
      </c>
      <c r="F43" s="270">
        <v>1</v>
      </c>
      <c r="G43" s="271"/>
      <c r="H43" s="271"/>
      <c r="I43" s="271"/>
      <c r="J43" s="271"/>
      <c r="K43" s="272">
        <f>SUM(F43:J43)</f>
        <v>1</v>
      </c>
      <c r="L43" s="270">
        <f>K43</f>
        <v>1</v>
      </c>
      <c r="M43" s="270">
        <v>9.9</v>
      </c>
      <c r="N43" s="271">
        <f t="shared" si="13"/>
        <v>9.9</v>
      </c>
      <c r="O43" s="270" t="s">
        <v>27</v>
      </c>
      <c r="P43" s="271">
        <f t="shared" ref="P43" si="15">N43</f>
        <v>9.9</v>
      </c>
      <c r="Q43" s="271"/>
      <c r="R43" s="271"/>
      <c r="S43" s="271"/>
      <c r="T43" s="273"/>
      <c r="V43" s="260" t="s">
        <v>155</v>
      </c>
      <c r="W43" s="261">
        <v>4.84</v>
      </c>
    </row>
    <row r="44" spans="1:23" ht="34.5" customHeight="1" x14ac:dyDescent="0.2">
      <c r="A44" s="588"/>
      <c r="B44" s="577"/>
      <c r="C44" s="591"/>
      <c r="D44" s="268" t="s">
        <v>143</v>
      </c>
      <c r="E44" s="269" t="s">
        <v>373</v>
      </c>
      <c r="F44" s="270"/>
      <c r="G44" s="271"/>
      <c r="H44" s="271">
        <v>2</v>
      </c>
      <c r="I44" s="271"/>
      <c r="J44" s="271"/>
      <c r="K44" s="272">
        <f>SUM(F44:J44)</f>
        <v>2</v>
      </c>
      <c r="L44" s="270">
        <f>K44</f>
        <v>2</v>
      </c>
      <c r="M44" s="270">
        <v>6.8</v>
      </c>
      <c r="N44" s="271">
        <f>L44*M44</f>
        <v>13.6</v>
      </c>
      <c r="O44" s="270" t="s">
        <v>27</v>
      </c>
      <c r="P44" s="271">
        <f>N44</f>
        <v>13.6</v>
      </c>
      <c r="Q44" s="271"/>
      <c r="R44" s="271"/>
      <c r="S44" s="271"/>
      <c r="T44" s="273"/>
    </row>
    <row r="45" spans="1:23" ht="34.5" customHeight="1" x14ac:dyDescent="0.2">
      <c r="A45" s="588"/>
      <c r="B45" s="577" t="s">
        <v>137</v>
      </c>
      <c r="C45" s="579">
        <f>SUM(P45:S48)</f>
        <v>28.6</v>
      </c>
      <c r="D45" s="274" t="s">
        <v>226</v>
      </c>
      <c r="E45" s="275">
        <v>300</v>
      </c>
      <c r="F45" s="276"/>
      <c r="G45" s="276"/>
      <c r="H45" s="276"/>
      <c r="I45" s="276"/>
      <c r="J45" s="271"/>
      <c r="K45" s="272"/>
      <c r="L45" s="270">
        <v>1</v>
      </c>
      <c r="M45" s="270">
        <v>5</v>
      </c>
      <c r="N45" s="271">
        <f t="shared" ref="N45" si="16">L45*M45</f>
        <v>5</v>
      </c>
      <c r="O45" s="276" t="s">
        <v>28</v>
      </c>
      <c r="P45" s="271"/>
      <c r="Q45" s="271">
        <f t="shared" ref="Q45" si="17">M45</f>
        <v>5</v>
      </c>
      <c r="R45" s="271"/>
      <c r="S45" s="271"/>
      <c r="T45" s="273"/>
    </row>
    <row r="46" spans="1:23" ht="34.5" customHeight="1" x14ac:dyDescent="0.2">
      <c r="A46" s="588"/>
      <c r="B46" s="577"/>
      <c r="C46" s="580"/>
      <c r="D46" s="268" t="s">
        <v>227</v>
      </c>
      <c r="E46" s="269"/>
      <c r="F46" s="270"/>
      <c r="G46" s="271"/>
      <c r="H46" s="271"/>
      <c r="I46" s="271"/>
      <c r="J46" s="271"/>
      <c r="K46" s="272"/>
      <c r="L46" s="270">
        <v>1</v>
      </c>
      <c r="M46" s="270">
        <v>9.9</v>
      </c>
      <c r="N46" s="271">
        <v>9.9</v>
      </c>
      <c r="O46" s="270" t="s">
        <v>27</v>
      </c>
      <c r="P46" s="271"/>
      <c r="Q46" s="271">
        <f>N46</f>
        <v>9.9</v>
      </c>
      <c r="R46" s="271"/>
      <c r="S46" s="271"/>
      <c r="T46" s="273"/>
    </row>
    <row r="47" spans="1:23" ht="34.5" customHeight="1" x14ac:dyDescent="0.2">
      <c r="A47" s="588"/>
      <c r="B47" s="577"/>
      <c r="C47" s="580"/>
      <c r="D47" s="274" t="s">
        <v>200</v>
      </c>
      <c r="E47" s="275">
        <v>300</v>
      </c>
      <c r="F47" s="276"/>
      <c r="G47" s="276"/>
      <c r="H47" s="276"/>
      <c r="I47" s="276"/>
      <c r="J47" s="271"/>
      <c r="K47" s="272"/>
      <c r="L47" s="270">
        <v>1</v>
      </c>
      <c r="M47" s="270">
        <v>3.8</v>
      </c>
      <c r="N47" s="271">
        <f t="shared" ref="N47" si="18">L47*M47</f>
        <v>3.8</v>
      </c>
      <c r="O47" s="270" t="s">
        <v>28</v>
      </c>
      <c r="P47" s="271"/>
      <c r="Q47" s="271">
        <f>M47</f>
        <v>3.8</v>
      </c>
      <c r="R47" s="271"/>
      <c r="S47" s="271"/>
      <c r="T47" s="273"/>
    </row>
    <row r="48" spans="1:23" ht="34.5" customHeight="1" thickBot="1" x14ac:dyDescent="0.25">
      <c r="A48" s="583"/>
      <c r="B48" s="578"/>
      <c r="C48" s="581"/>
      <c r="D48" s="285" t="s">
        <v>151</v>
      </c>
      <c r="E48" s="285"/>
      <c r="F48" s="286"/>
      <c r="G48" s="286"/>
      <c r="H48" s="286"/>
      <c r="I48" s="286"/>
      <c r="J48" s="286"/>
      <c r="K48" s="283"/>
      <c r="L48" s="286">
        <v>1</v>
      </c>
      <c r="M48" s="286">
        <v>9.9</v>
      </c>
      <c r="N48" s="286">
        <f t="shared" ref="N48" si="19">M48*L48</f>
        <v>9.9</v>
      </c>
      <c r="O48" s="286" t="s">
        <v>27</v>
      </c>
      <c r="P48" s="286"/>
      <c r="Q48" s="282">
        <f>N48</f>
        <v>9.9</v>
      </c>
      <c r="R48" s="282"/>
      <c r="S48" s="282"/>
      <c r="T48" s="284"/>
    </row>
    <row r="49" spans="1:20" ht="34.5" customHeight="1" x14ac:dyDescent="0.2">
      <c r="A49" s="582" t="s">
        <v>146</v>
      </c>
      <c r="B49" s="584" t="s">
        <v>137</v>
      </c>
      <c r="C49" s="586">
        <f>SUM(P49:S50)</f>
        <v>21.405000000000001</v>
      </c>
      <c r="D49" s="287" t="s">
        <v>384</v>
      </c>
      <c r="E49" s="288">
        <v>1000</v>
      </c>
      <c r="F49" s="289"/>
      <c r="G49" s="289"/>
      <c r="H49" s="289"/>
      <c r="I49" s="289"/>
      <c r="J49" s="265"/>
      <c r="K49" s="266"/>
      <c r="L49" s="264">
        <v>0.95</v>
      </c>
      <c r="M49" s="264">
        <v>9.9</v>
      </c>
      <c r="N49" s="265">
        <f t="shared" si="1"/>
        <v>9.4049999999999994</v>
      </c>
      <c r="O49" s="289" t="s">
        <v>27</v>
      </c>
      <c r="P49" s="265"/>
      <c r="Q49" s="265"/>
      <c r="R49" s="265">
        <f t="shared" ref="R49:R50" si="20">N49</f>
        <v>9.4049999999999994</v>
      </c>
      <c r="S49" s="265"/>
      <c r="T49" s="267"/>
    </row>
    <row r="50" spans="1:20" ht="34.5" customHeight="1" thickBot="1" x14ac:dyDescent="0.25">
      <c r="A50" s="583"/>
      <c r="B50" s="585"/>
      <c r="C50" s="587"/>
      <c r="D50" s="290" t="s">
        <v>100</v>
      </c>
      <c r="E50" s="291">
        <v>1000</v>
      </c>
      <c r="F50" s="292"/>
      <c r="G50" s="292"/>
      <c r="H50" s="292"/>
      <c r="I50" s="292"/>
      <c r="J50" s="282"/>
      <c r="K50" s="283"/>
      <c r="L50" s="281">
        <v>1</v>
      </c>
      <c r="M50" s="281">
        <v>12</v>
      </c>
      <c r="N50" s="282">
        <f t="shared" si="1"/>
        <v>12</v>
      </c>
      <c r="O50" s="292" t="s">
        <v>27</v>
      </c>
      <c r="P50" s="282"/>
      <c r="Q50" s="282"/>
      <c r="R50" s="282">
        <f t="shared" si="20"/>
        <v>12</v>
      </c>
      <c r="S50" s="282"/>
      <c r="T50" s="284"/>
    </row>
    <row r="51" spans="1:20" ht="34.5" customHeight="1" x14ac:dyDescent="0.2">
      <c r="A51" s="582" t="s">
        <v>233</v>
      </c>
      <c r="B51" s="584" t="s">
        <v>137</v>
      </c>
      <c r="C51" s="586">
        <f>SUM(P51:S55)</f>
        <v>70.599999999999994</v>
      </c>
      <c r="D51" s="293" t="s">
        <v>232</v>
      </c>
      <c r="E51" s="293"/>
      <c r="F51" s="294"/>
      <c r="G51" s="294"/>
      <c r="H51" s="294"/>
      <c r="I51" s="294"/>
      <c r="J51" s="294"/>
      <c r="K51" s="266"/>
      <c r="L51" s="264">
        <v>2</v>
      </c>
      <c r="M51" s="264">
        <v>6.8</v>
      </c>
      <c r="N51" s="265">
        <f t="shared" si="1"/>
        <v>13.6</v>
      </c>
      <c r="O51" s="264" t="s">
        <v>28</v>
      </c>
      <c r="P51" s="265"/>
      <c r="Q51" s="271">
        <f>+N51</f>
        <v>13.6</v>
      </c>
      <c r="R51" s="265"/>
      <c r="S51" s="265"/>
      <c r="T51" s="267"/>
    </row>
    <row r="52" spans="1:20" ht="34.5" customHeight="1" x14ac:dyDescent="0.2">
      <c r="A52" s="588"/>
      <c r="B52" s="589"/>
      <c r="C52" s="590"/>
      <c r="D52" s="277" t="s">
        <v>124</v>
      </c>
      <c r="E52" s="277"/>
      <c r="F52" s="278"/>
      <c r="G52" s="278"/>
      <c r="H52" s="278"/>
      <c r="I52" s="278"/>
      <c r="J52" s="278"/>
      <c r="K52" s="272"/>
      <c r="L52" s="270">
        <v>4</v>
      </c>
      <c r="M52" s="270">
        <v>9.9</v>
      </c>
      <c r="N52" s="271">
        <f t="shared" si="1"/>
        <v>39.6</v>
      </c>
      <c r="O52" s="270" t="s">
        <v>27</v>
      </c>
      <c r="P52" s="271">
        <f>N52</f>
        <v>39.6</v>
      </c>
      <c r="Q52" s="271"/>
      <c r="R52" s="271"/>
      <c r="S52" s="271"/>
      <c r="T52" s="273" t="s">
        <v>385</v>
      </c>
    </row>
    <row r="53" spans="1:20" ht="34.5" customHeight="1" x14ac:dyDescent="0.2">
      <c r="A53" s="588"/>
      <c r="B53" s="589"/>
      <c r="C53" s="590"/>
      <c r="D53" s="274" t="s">
        <v>386</v>
      </c>
      <c r="E53" s="275">
        <v>500</v>
      </c>
      <c r="F53" s="276"/>
      <c r="G53" s="276"/>
      <c r="H53" s="276"/>
      <c r="I53" s="276"/>
      <c r="J53" s="271"/>
      <c r="K53" s="272"/>
      <c r="L53" s="270">
        <v>1</v>
      </c>
      <c r="M53" s="270">
        <v>12</v>
      </c>
      <c r="N53" s="271">
        <f>L53*M53</f>
        <v>12</v>
      </c>
      <c r="O53" s="276" t="s">
        <v>27</v>
      </c>
      <c r="P53" s="271"/>
      <c r="Q53" s="271">
        <f>+N53</f>
        <v>12</v>
      </c>
      <c r="R53" s="271"/>
      <c r="S53" s="271"/>
      <c r="T53" s="273"/>
    </row>
    <row r="54" spans="1:20" ht="34.5" customHeight="1" x14ac:dyDescent="0.2">
      <c r="A54" s="588"/>
      <c r="B54" s="589"/>
      <c r="C54" s="590"/>
      <c r="D54" s="274" t="s">
        <v>200</v>
      </c>
      <c r="E54" s="275">
        <v>300</v>
      </c>
      <c r="F54" s="276"/>
      <c r="G54" s="276"/>
      <c r="H54" s="276"/>
      <c r="I54" s="276"/>
      <c r="J54" s="271"/>
      <c r="K54" s="272"/>
      <c r="L54" s="270">
        <v>1</v>
      </c>
      <c r="M54" s="270">
        <v>3.8</v>
      </c>
      <c r="N54" s="271">
        <f t="shared" ref="N54:N55" si="21">L54*M54</f>
        <v>3.8</v>
      </c>
      <c r="O54" s="270" t="s">
        <v>28</v>
      </c>
      <c r="P54" s="271"/>
      <c r="Q54" s="271">
        <f>+N54</f>
        <v>3.8</v>
      </c>
      <c r="R54" s="271"/>
      <c r="S54" s="271"/>
      <c r="T54" s="273"/>
    </row>
    <row r="55" spans="1:20" ht="34.5" customHeight="1" thickBot="1" x14ac:dyDescent="0.25">
      <c r="A55" s="583"/>
      <c r="B55" s="585"/>
      <c r="C55" s="587"/>
      <c r="D55" s="290" t="s">
        <v>387</v>
      </c>
      <c r="E55" s="291"/>
      <c r="F55" s="295"/>
      <c r="G55" s="295"/>
      <c r="H55" s="295"/>
      <c r="I55" s="295"/>
      <c r="J55" s="296"/>
      <c r="K55" s="256"/>
      <c r="L55" s="297">
        <v>2</v>
      </c>
      <c r="M55" s="270">
        <v>0.8</v>
      </c>
      <c r="N55" s="296">
        <f t="shared" si="21"/>
        <v>1.6</v>
      </c>
      <c r="O55" s="270" t="s">
        <v>28</v>
      </c>
      <c r="P55" s="296"/>
      <c r="Q55" s="296">
        <f>+N55</f>
        <v>1.6</v>
      </c>
      <c r="R55" s="296"/>
      <c r="S55" s="296"/>
      <c r="T55" s="284"/>
    </row>
    <row r="56" spans="1:20" ht="34.5" customHeight="1" thickBot="1" x14ac:dyDescent="0.25">
      <c r="A56" s="253"/>
      <c r="B56" s="565" t="s">
        <v>152</v>
      </c>
      <c r="C56" s="566"/>
      <c r="D56" s="567"/>
      <c r="E56" s="253"/>
      <c r="F56" s="298">
        <f t="shared" ref="F56:L56" si="22">SUM(F5:F55)</f>
        <v>27</v>
      </c>
      <c r="G56" s="299">
        <f t="shared" si="22"/>
        <v>0</v>
      </c>
      <c r="H56" s="299">
        <f t="shared" si="22"/>
        <v>4</v>
      </c>
      <c r="I56" s="299">
        <f t="shared" si="22"/>
        <v>1</v>
      </c>
      <c r="J56" s="299">
        <f t="shared" si="22"/>
        <v>6</v>
      </c>
      <c r="K56" s="299">
        <f t="shared" si="22"/>
        <v>38</v>
      </c>
      <c r="L56" s="300">
        <f t="shared" si="22"/>
        <v>155.94999999999999</v>
      </c>
      <c r="M56" s="301"/>
      <c r="N56" s="302">
        <f>SUM(N5:N55)</f>
        <v>815.04499999999973</v>
      </c>
      <c r="O56" s="303"/>
      <c r="P56" s="298">
        <f>SUM(P5:P55)</f>
        <v>465.59999999999997</v>
      </c>
      <c r="Q56" s="299">
        <f>SUM(Q5:Q55)</f>
        <v>321.24000000000007</v>
      </c>
      <c r="R56" s="299">
        <f>SUM(R5:R55)</f>
        <v>28.204999999999998</v>
      </c>
      <c r="S56" s="300">
        <f>SUM(S5:S55)</f>
        <v>0</v>
      </c>
      <c r="T56" s="253"/>
    </row>
    <row r="57" spans="1:20" ht="34.5" customHeight="1" thickBot="1" x14ac:dyDescent="0.25">
      <c r="A57" s="253"/>
      <c r="B57" s="568" t="s">
        <v>52</v>
      </c>
      <c r="C57" s="569"/>
      <c r="D57" s="570"/>
      <c r="E57" s="253"/>
      <c r="F57" s="253"/>
      <c r="G57" s="253"/>
      <c r="H57" s="253"/>
      <c r="I57" s="253"/>
      <c r="J57" s="253"/>
      <c r="K57" s="253"/>
      <c r="L57" s="253"/>
      <c r="M57" s="304"/>
      <c r="N57" s="305"/>
      <c r="O57" s="305"/>
      <c r="P57" s="306">
        <f>P56*1.75</f>
        <v>814.8</v>
      </c>
      <c r="Q57" s="306">
        <f>Q56*1.75</f>
        <v>562.17000000000007</v>
      </c>
      <c r="R57" s="306">
        <f>R56*1.75</f>
        <v>49.358750000000001</v>
      </c>
      <c r="S57" s="306">
        <f>S56*1.4</f>
        <v>0</v>
      </c>
      <c r="T57" s="253"/>
    </row>
    <row r="58" spans="1:20" ht="34.5" customHeight="1" thickBot="1" x14ac:dyDescent="0.3">
      <c r="A58" s="247"/>
      <c r="B58" s="571"/>
      <c r="C58" s="572"/>
      <c r="D58" s="573"/>
      <c r="E58" s="251"/>
      <c r="F58" s="251"/>
      <c r="G58" s="251"/>
      <c r="H58" s="251"/>
      <c r="I58" s="251"/>
      <c r="J58" s="251"/>
      <c r="K58" s="251"/>
      <c r="L58" s="251"/>
      <c r="M58" s="307"/>
      <c r="N58" s="308"/>
      <c r="O58" s="308"/>
      <c r="P58" s="574">
        <f>SUM(P57:S57)</f>
        <v>1426.3287500000001</v>
      </c>
      <c r="Q58" s="575"/>
      <c r="R58" s="575"/>
      <c r="S58" s="576"/>
      <c r="T58" s="251"/>
    </row>
    <row r="60" spans="1:20" ht="34.5" customHeight="1" x14ac:dyDescent="0.2">
      <c r="P60" s="309"/>
      <c r="Q60" s="309"/>
      <c r="R60" s="309"/>
    </row>
  </sheetData>
  <mergeCells count="41">
    <mergeCell ref="N1:O1"/>
    <mergeCell ref="N2:O2"/>
    <mergeCell ref="F3:K3"/>
    <mergeCell ref="P3:S3"/>
    <mergeCell ref="A4:B4"/>
    <mergeCell ref="B13:B17"/>
    <mergeCell ref="C13:C17"/>
    <mergeCell ref="B18:B23"/>
    <mergeCell ref="C18:C23"/>
    <mergeCell ref="A24:A37"/>
    <mergeCell ref="B24:B27"/>
    <mergeCell ref="C24:C27"/>
    <mergeCell ref="B28:B29"/>
    <mergeCell ref="C28:C29"/>
    <mergeCell ref="B30:B33"/>
    <mergeCell ref="A5:A23"/>
    <mergeCell ref="B5:B8"/>
    <mergeCell ref="C5:C8"/>
    <mergeCell ref="B9:B12"/>
    <mergeCell ref="C9:C12"/>
    <mergeCell ref="C30:C33"/>
    <mergeCell ref="B34:B37"/>
    <mergeCell ref="C34:C37"/>
    <mergeCell ref="A38:A48"/>
    <mergeCell ref="B38:B40"/>
    <mergeCell ref="C38:C40"/>
    <mergeCell ref="B41:B42"/>
    <mergeCell ref="C41:C42"/>
    <mergeCell ref="B43:B44"/>
    <mergeCell ref="C43:C44"/>
    <mergeCell ref="A49:A50"/>
    <mergeCell ref="B49:B50"/>
    <mergeCell ref="C49:C50"/>
    <mergeCell ref="A51:A55"/>
    <mergeCell ref="B51:B55"/>
    <mergeCell ref="C51:C55"/>
    <mergeCell ref="B56:D56"/>
    <mergeCell ref="B57:D58"/>
    <mergeCell ref="P58:S58"/>
    <mergeCell ref="B45:B48"/>
    <mergeCell ref="C45:C48"/>
  </mergeCells>
  <printOptions horizontalCentered="1"/>
  <pageMargins left="0.25" right="0.25" top="0.75" bottom="0.75" header="0.3" footer="0.3"/>
  <pageSetup paperSize="9"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9"/>
  <sheetViews>
    <sheetView rightToLeft="1" topLeftCell="A4" zoomScale="55" zoomScaleNormal="55" workbookViewId="0">
      <pane ySplit="4" topLeftCell="A20" activePane="bottomLeft" state="frozen"/>
      <selection activeCell="A4" sqref="A4"/>
      <selection pane="bottomLeft" activeCell="I50" sqref="I50"/>
    </sheetView>
  </sheetViews>
  <sheetFormatPr defaultRowHeight="14.25" x14ac:dyDescent="0.2"/>
  <cols>
    <col min="1" max="1" width="7.375" customWidth="1"/>
    <col min="2" max="2" width="43.75" bestFit="1" customWidth="1"/>
    <col min="3" max="3" width="13.5" customWidth="1"/>
    <col min="13" max="13" width="19.875" bestFit="1" customWidth="1"/>
  </cols>
  <sheetData>
    <row r="2" spans="1:13" ht="23.25" x14ac:dyDescent="0.35">
      <c r="A2" s="120"/>
      <c r="B2" s="604" t="s">
        <v>239</v>
      </c>
      <c r="C2" s="604"/>
      <c r="D2" s="604"/>
      <c r="E2" s="604"/>
      <c r="F2" s="604"/>
      <c r="G2" s="604"/>
      <c r="H2" s="604"/>
      <c r="I2" s="604"/>
      <c r="J2" s="604"/>
      <c r="K2" s="604"/>
      <c r="L2" s="604"/>
      <c r="M2" s="604"/>
    </row>
    <row r="3" spans="1:13" ht="15.75" x14ac:dyDescent="0.25">
      <c r="A3" s="121"/>
      <c r="B3" s="605"/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</row>
    <row r="4" spans="1:13" ht="23.25" x14ac:dyDescent="0.35">
      <c r="A4" s="121"/>
      <c r="B4" s="122" t="s">
        <v>240</v>
      </c>
      <c r="C4" s="122"/>
      <c r="D4" s="123" t="s">
        <v>241</v>
      </c>
      <c r="E4" s="124"/>
      <c r="F4" s="124" t="s">
        <v>242</v>
      </c>
      <c r="G4" s="124"/>
      <c r="H4" s="124"/>
      <c r="I4" s="124"/>
      <c r="J4" s="124"/>
      <c r="K4" s="124"/>
      <c r="L4" s="124"/>
      <c r="M4" s="124"/>
    </row>
    <row r="5" spans="1:13" ht="15.75" x14ac:dyDescent="0.25">
      <c r="A5" s="121"/>
      <c r="B5" s="125"/>
      <c r="C5" s="125"/>
      <c r="D5" s="126"/>
      <c r="E5" s="127"/>
      <c r="F5" s="127"/>
      <c r="G5" s="127"/>
      <c r="H5" s="127"/>
      <c r="I5" s="128"/>
      <c r="J5" s="127"/>
      <c r="K5" s="128"/>
      <c r="L5" s="127"/>
      <c r="M5" s="129" t="s">
        <v>243</v>
      </c>
    </row>
    <row r="6" spans="1:13" ht="18.75" x14ac:dyDescent="0.3">
      <c r="A6" s="130" t="s">
        <v>22</v>
      </c>
      <c r="B6" s="485" t="s">
        <v>6</v>
      </c>
      <c r="C6" s="485"/>
      <c r="D6" s="606" t="s">
        <v>5</v>
      </c>
      <c r="E6" s="607"/>
      <c r="F6" s="607"/>
      <c r="G6" s="607"/>
      <c r="H6" s="607"/>
      <c r="I6" s="608" t="s">
        <v>244</v>
      </c>
      <c r="J6" s="608" t="s">
        <v>245</v>
      </c>
      <c r="K6" s="608" t="s">
        <v>246</v>
      </c>
      <c r="L6" s="609" t="s">
        <v>247</v>
      </c>
      <c r="M6" s="486" t="s">
        <v>248</v>
      </c>
    </row>
    <row r="7" spans="1:13" ht="15.75" x14ac:dyDescent="0.25">
      <c r="A7" s="131"/>
      <c r="B7" s="485"/>
      <c r="C7" s="485" t="s">
        <v>32</v>
      </c>
      <c r="D7" s="606"/>
      <c r="E7" s="487">
        <v>6.65</v>
      </c>
      <c r="F7" s="487">
        <v>10.7</v>
      </c>
      <c r="G7" s="488">
        <v>12.7</v>
      </c>
      <c r="H7" s="489">
        <v>15.6</v>
      </c>
      <c r="I7" s="608"/>
      <c r="J7" s="608"/>
      <c r="K7" s="608"/>
      <c r="L7" s="609"/>
      <c r="M7" s="486"/>
    </row>
    <row r="8" spans="1:13" ht="15.75" x14ac:dyDescent="0.2">
      <c r="A8" s="132">
        <v>1</v>
      </c>
      <c r="B8" s="133" t="s">
        <v>187</v>
      </c>
      <c r="C8" s="133">
        <v>1</v>
      </c>
      <c r="D8" s="134" t="s">
        <v>34</v>
      </c>
      <c r="E8" s="134">
        <v>0</v>
      </c>
      <c r="F8" s="134">
        <v>0</v>
      </c>
      <c r="G8" s="134"/>
      <c r="H8" s="134">
        <v>1</v>
      </c>
      <c r="I8" s="135">
        <v>1</v>
      </c>
      <c r="J8" s="76"/>
      <c r="K8" s="135">
        <v>1</v>
      </c>
      <c r="L8" s="76">
        <f>H8*I8*K8*$H$7+K8*I8*(F8*$F$7+E8*$E$7)</f>
        <v>15.6</v>
      </c>
      <c r="M8" s="77"/>
    </row>
    <row r="9" spans="1:13" ht="15.75" x14ac:dyDescent="0.2">
      <c r="A9" s="132">
        <v>2</v>
      </c>
      <c r="B9" s="133" t="s">
        <v>188</v>
      </c>
      <c r="C9" s="133">
        <v>1</v>
      </c>
      <c r="D9" s="134" t="s">
        <v>34</v>
      </c>
      <c r="E9" s="134"/>
      <c r="F9" s="134"/>
      <c r="G9" s="134"/>
      <c r="H9" s="134">
        <v>1</v>
      </c>
      <c r="I9" s="135">
        <v>1</v>
      </c>
      <c r="J9" s="76"/>
      <c r="K9" s="135">
        <v>1</v>
      </c>
      <c r="L9" s="76">
        <f>H9*I9*K9*$H$7+K9*I9*(F9*$F$7+E9*$E$7)</f>
        <v>15.6</v>
      </c>
      <c r="M9" s="78"/>
    </row>
    <row r="10" spans="1:13" ht="15.75" x14ac:dyDescent="0.2">
      <c r="A10" s="132">
        <v>3</v>
      </c>
      <c r="B10" s="133" t="s">
        <v>189</v>
      </c>
      <c r="C10" s="133">
        <v>1</v>
      </c>
      <c r="D10" s="134" t="s">
        <v>34</v>
      </c>
      <c r="E10" s="134"/>
      <c r="F10" s="134">
        <v>1</v>
      </c>
      <c r="G10" s="134">
        <v>1</v>
      </c>
      <c r="H10" s="134"/>
      <c r="I10" s="135">
        <v>1</v>
      </c>
      <c r="J10" s="76"/>
      <c r="K10" s="135">
        <v>1</v>
      </c>
      <c r="L10" s="76">
        <f>H10*I10*K10*$H$7+K10*I10*(F10*$F$7+E10*$E$7)</f>
        <v>10.7</v>
      </c>
      <c r="M10" s="77"/>
    </row>
    <row r="11" spans="1:13" ht="15.75" x14ac:dyDescent="0.2">
      <c r="A11" s="132">
        <v>4</v>
      </c>
      <c r="B11" s="133" t="s">
        <v>190</v>
      </c>
      <c r="C11" s="133">
        <v>1</v>
      </c>
      <c r="D11" s="134" t="s">
        <v>34</v>
      </c>
      <c r="E11" s="134"/>
      <c r="F11" s="134">
        <v>1</v>
      </c>
      <c r="G11" s="134"/>
      <c r="H11" s="134"/>
      <c r="I11" s="135">
        <v>1</v>
      </c>
      <c r="J11" s="76"/>
      <c r="K11" s="135">
        <v>1</v>
      </c>
      <c r="L11" s="76">
        <f t="shared" ref="L11:L26" si="0">H11*I11*K11*$H$7+K11*I11*(F11*$F$7+E11*$E$7)</f>
        <v>10.7</v>
      </c>
      <c r="M11" s="77" t="s">
        <v>249</v>
      </c>
    </row>
    <row r="12" spans="1:13" ht="15.75" x14ac:dyDescent="0.2">
      <c r="A12" s="132">
        <v>5</v>
      </c>
      <c r="B12" s="133" t="s">
        <v>191</v>
      </c>
      <c r="C12" s="133">
        <v>1</v>
      </c>
      <c r="D12" s="134" t="s">
        <v>34</v>
      </c>
      <c r="E12" s="134"/>
      <c r="F12" s="134">
        <v>1</v>
      </c>
      <c r="G12" s="134"/>
      <c r="H12" s="134"/>
      <c r="I12" s="135">
        <v>1</v>
      </c>
      <c r="J12" s="76"/>
      <c r="K12" s="135">
        <v>1</v>
      </c>
      <c r="L12" s="76">
        <f t="shared" si="0"/>
        <v>10.7</v>
      </c>
      <c r="M12" s="77" t="s">
        <v>249</v>
      </c>
    </row>
    <row r="13" spans="1:13" ht="15.75" x14ac:dyDescent="0.2">
      <c r="A13" s="136">
        <v>6</v>
      </c>
      <c r="B13" s="133" t="s">
        <v>110</v>
      </c>
      <c r="C13" s="133">
        <v>2</v>
      </c>
      <c r="D13" s="134" t="s">
        <v>34</v>
      </c>
      <c r="E13" s="134"/>
      <c r="F13" s="134">
        <v>1</v>
      </c>
      <c r="G13" s="134">
        <v>1</v>
      </c>
      <c r="H13" s="134"/>
      <c r="I13" s="135">
        <v>1</v>
      </c>
      <c r="J13" s="76"/>
      <c r="K13" s="135">
        <v>2</v>
      </c>
      <c r="L13" s="76">
        <f t="shared" si="0"/>
        <v>21.4</v>
      </c>
      <c r="M13" s="77"/>
    </row>
    <row r="14" spans="1:13" ht="15.75" x14ac:dyDescent="0.2">
      <c r="A14" s="132">
        <v>7</v>
      </c>
      <c r="B14" s="133" t="s">
        <v>192</v>
      </c>
      <c r="C14" s="133">
        <v>1</v>
      </c>
      <c r="D14" s="134" t="s">
        <v>34</v>
      </c>
      <c r="E14" s="134"/>
      <c r="F14" s="134">
        <v>1</v>
      </c>
      <c r="G14" s="134"/>
      <c r="H14" s="134"/>
      <c r="I14" s="135">
        <v>1</v>
      </c>
      <c r="J14" s="76"/>
      <c r="K14" s="135">
        <v>1</v>
      </c>
      <c r="L14" s="76">
        <f t="shared" si="0"/>
        <v>10.7</v>
      </c>
      <c r="M14" s="78"/>
    </row>
    <row r="15" spans="1:13" ht="15.75" x14ac:dyDescent="0.2">
      <c r="A15" s="132">
        <v>8</v>
      </c>
      <c r="B15" s="133" t="s">
        <v>193</v>
      </c>
      <c r="C15" s="133">
        <v>1</v>
      </c>
      <c r="D15" s="134" t="s">
        <v>216</v>
      </c>
      <c r="E15" s="134"/>
      <c r="F15" s="134">
        <v>1</v>
      </c>
      <c r="G15" s="134">
        <v>1</v>
      </c>
      <c r="H15" s="134"/>
      <c r="I15" s="135">
        <v>1</v>
      </c>
      <c r="J15" s="76"/>
      <c r="K15" s="135">
        <v>1</v>
      </c>
      <c r="L15" s="76">
        <f t="shared" si="0"/>
        <v>10.7</v>
      </c>
      <c r="M15" s="78"/>
    </row>
    <row r="16" spans="1:13" ht="15.75" x14ac:dyDescent="0.2">
      <c r="A16" s="132">
        <v>9</v>
      </c>
      <c r="B16" s="133" t="s">
        <v>194</v>
      </c>
      <c r="C16" s="133">
        <v>4</v>
      </c>
      <c r="D16" s="134" t="s">
        <v>216</v>
      </c>
      <c r="E16" s="134"/>
      <c r="F16" s="134">
        <v>1</v>
      </c>
      <c r="G16" s="134">
        <v>1</v>
      </c>
      <c r="H16" s="134"/>
      <c r="I16" s="135">
        <v>1</v>
      </c>
      <c r="J16" s="76"/>
      <c r="K16" s="135">
        <v>4</v>
      </c>
      <c r="L16" s="76">
        <f t="shared" si="0"/>
        <v>42.8</v>
      </c>
      <c r="M16" s="77" t="s">
        <v>249</v>
      </c>
    </row>
    <row r="17" spans="1:13" ht="15.75" x14ac:dyDescent="0.2">
      <c r="A17" s="132">
        <v>10</v>
      </c>
      <c r="B17" s="133" t="s">
        <v>195</v>
      </c>
      <c r="C17" s="133">
        <v>9</v>
      </c>
      <c r="D17" s="134" t="s">
        <v>216</v>
      </c>
      <c r="E17" s="134"/>
      <c r="F17" s="134">
        <v>1</v>
      </c>
      <c r="G17" s="134"/>
      <c r="H17" s="134"/>
      <c r="I17" s="135">
        <v>1</v>
      </c>
      <c r="J17" s="76"/>
      <c r="K17" s="135">
        <v>9</v>
      </c>
      <c r="L17" s="76">
        <f t="shared" si="0"/>
        <v>96.3</v>
      </c>
      <c r="M17" s="78"/>
    </row>
    <row r="18" spans="1:13" ht="15.75" x14ac:dyDescent="0.2">
      <c r="A18" s="132">
        <v>11</v>
      </c>
      <c r="B18" s="133" t="s">
        <v>196</v>
      </c>
      <c r="C18" s="133">
        <v>3</v>
      </c>
      <c r="D18" s="134" t="s">
        <v>216</v>
      </c>
      <c r="E18" s="134"/>
      <c r="F18" s="134">
        <v>1</v>
      </c>
      <c r="G18" s="134"/>
      <c r="H18" s="134"/>
      <c r="I18" s="135">
        <v>1</v>
      </c>
      <c r="J18" s="76"/>
      <c r="K18" s="135">
        <v>3</v>
      </c>
      <c r="L18" s="76">
        <f t="shared" si="0"/>
        <v>32.099999999999994</v>
      </c>
      <c r="M18" s="77" t="s">
        <v>249</v>
      </c>
    </row>
    <row r="19" spans="1:13" ht="15.75" x14ac:dyDescent="0.2">
      <c r="A19" s="132">
        <v>12</v>
      </c>
      <c r="B19" s="133" t="s">
        <v>197</v>
      </c>
      <c r="C19" s="133">
        <v>9</v>
      </c>
      <c r="D19" s="134" t="s">
        <v>216</v>
      </c>
      <c r="E19" s="134"/>
      <c r="F19" s="134">
        <v>1</v>
      </c>
      <c r="G19" s="134"/>
      <c r="H19" s="134"/>
      <c r="I19" s="135">
        <v>1</v>
      </c>
      <c r="J19" s="76"/>
      <c r="K19" s="135">
        <v>9</v>
      </c>
      <c r="L19" s="76">
        <f t="shared" si="0"/>
        <v>96.3</v>
      </c>
      <c r="M19" s="78" t="s">
        <v>212</v>
      </c>
    </row>
    <row r="20" spans="1:13" ht="15.75" x14ac:dyDescent="0.2">
      <c r="A20" s="132">
        <v>13</v>
      </c>
      <c r="B20" s="133" t="s">
        <v>250</v>
      </c>
      <c r="C20" s="133">
        <v>3</v>
      </c>
      <c r="D20" s="134" t="s">
        <v>216</v>
      </c>
      <c r="E20" s="134"/>
      <c r="F20" s="134">
        <v>1</v>
      </c>
      <c r="G20" s="134"/>
      <c r="H20" s="134"/>
      <c r="I20" s="135">
        <v>1</v>
      </c>
      <c r="J20" s="76"/>
      <c r="K20" s="135">
        <v>3</v>
      </c>
      <c r="L20" s="76">
        <f t="shared" si="0"/>
        <v>32.099999999999994</v>
      </c>
      <c r="M20" s="78"/>
    </row>
    <row r="21" spans="1:13" ht="15.75" x14ac:dyDescent="0.2">
      <c r="A21" s="132">
        <v>14</v>
      </c>
      <c r="B21" s="133" t="s">
        <v>91</v>
      </c>
      <c r="C21" s="133">
        <v>1</v>
      </c>
      <c r="D21" s="134" t="s">
        <v>217</v>
      </c>
      <c r="E21" s="134"/>
      <c r="F21" s="134">
        <v>1</v>
      </c>
      <c r="G21" s="134">
        <v>1</v>
      </c>
      <c r="H21" s="134"/>
      <c r="I21" s="135">
        <v>1</v>
      </c>
      <c r="J21" s="76"/>
      <c r="K21" s="135">
        <v>1</v>
      </c>
      <c r="L21" s="76">
        <f t="shared" si="0"/>
        <v>10.7</v>
      </c>
      <c r="M21" s="78"/>
    </row>
    <row r="22" spans="1:13" ht="15.75" x14ac:dyDescent="0.2">
      <c r="A22" s="132">
        <v>15</v>
      </c>
      <c r="B22" s="133" t="s">
        <v>92</v>
      </c>
      <c r="C22" s="133">
        <v>1</v>
      </c>
      <c r="D22" s="134" t="s">
        <v>217</v>
      </c>
      <c r="E22" s="134"/>
      <c r="F22" s="134">
        <v>1</v>
      </c>
      <c r="G22" s="134"/>
      <c r="H22" s="134"/>
      <c r="I22" s="135">
        <v>1</v>
      </c>
      <c r="J22" s="76"/>
      <c r="K22" s="135">
        <v>1</v>
      </c>
      <c r="L22" s="76">
        <f t="shared" si="0"/>
        <v>10.7</v>
      </c>
      <c r="M22" s="78"/>
    </row>
    <row r="23" spans="1:13" ht="15.75" x14ac:dyDescent="0.2">
      <c r="A23" s="132">
        <v>16</v>
      </c>
      <c r="B23" s="133" t="s">
        <v>198</v>
      </c>
      <c r="C23" s="133">
        <v>4</v>
      </c>
      <c r="D23" s="134" t="s">
        <v>217</v>
      </c>
      <c r="E23" s="134"/>
      <c r="F23" s="134">
        <v>1</v>
      </c>
      <c r="G23" s="134"/>
      <c r="H23" s="134"/>
      <c r="I23" s="135">
        <v>1</v>
      </c>
      <c r="J23" s="76"/>
      <c r="K23" s="135">
        <v>4</v>
      </c>
      <c r="L23" s="76">
        <f t="shared" si="0"/>
        <v>42.8</v>
      </c>
      <c r="M23" s="78"/>
    </row>
    <row r="24" spans="1:13" ht="15.75" x14ac:dyDescent="0.2">
      <c r="A24" s="132">
        <v>17</v>
      </c>
      <c r="B24" s="133" t="s">
        <v>199</v>
      </c>
      <c r="C24" s="133">
        <v>12</v>
      </c>
      <c r="D24" s="134" t="s">
        <v>217</v>
      </c>
      <c r="E24" s="134"/>
      <c r="F24" s="134">
        <v>1</v>
      </c>
      <c r="G24" s="134"/>
      <c r="H24" s="134"/>
      <c r="I24" s="135">
        <v>1</v>
      </c>
      <c r="J24" s="76"/>
      <c r="K24" s="135">
        <v>12</v>
      </c>
      <c r="L24" s="76">
        <f t="shared" si="0"/>
        <v>128.39999999999998</v>
      </c>
      <c r="M24" s="77" t="s">
        <v>213</v>
      </c>
    </row>
    <row r="25" spans="1:13" ht="15.75" x14ac:dyDescent="0.2">
      <c r="A25" s="137">
        <v>18</v>
      </c>
      <c r="B25" s="138" t="s">
        <v>251</v>
      </c>
      <c r="C25" s="133">
        <v>3</v>
      </c>
      <c r="D25" s="134"/>
      <c r="E25" s="134"/>
      <c r="F25" s="134">
        <v>1</v>
      </c>
      <c r="G25" s="134"/>
      <c r="H25" s="134"/>
      <c r="I25" s="135">
        <v>1</v>
      </c>
      <c r="J25" s="76"/>
      <c r="K25" s="135">
        <v>3</v>
      </c>
      <c r="L25" s="76">
        <f t="shared" si="0"/>
        <v>32.099999999999994</v>
      </c>
      <c r="M25" s="77"/>
    </row>
    <row r="26" spans="1:13" ht="15.75" x14ac:dyDescent="0.2">
      <c r="A26" s="132">
        <v>3</v>
      </c>
      <c r="B26" s="133" t="s">
        <v>252</v>
      </c>
      <c r="C26" s="133">
        <v>4</v>
      </c>
      <c r="D26" s="134" t="s">
        <v>217</v>
      </c>
      <c r="E26" s="134">
        <v>1</v>
      </c>
      <c r="F26" s="134"/>
      <c r="G26" s="134">
        <v>1</v>
      </c>
      <c r="H26" s="134"/>
      <c r="I26" s="135">
        <v>3</v>
      </c>
      <c r="J26" s="76"/>
      <c r="K26" s="135">
        <v>1</v>
      </c>
      <c r="L26" s="76">
        <f t="shared" si="0"/>
        <v>19.950000000000003</v>
      </c>
      <c r="M26" s="78" t="s">
        <v>253</v>
      </c>
    </row>
    <row r="27" spans="1:13" ht="15.75" x14ac:dyDescent="0.2">
      <c r="A27" s="132">
        <v>20</v>
      </c>
      <c r="B27" s="133" t="s">
        <v>254</v>
      </c>
      <c r="C27" s="133"/>
      <c r="D27" s="134" t="s">
        <v>34</v>
      </c>
      <c r="E27" s="134"/>
      <c r="F27" s="134"/>
      <c r="G27" s="134"/>
      <c r="H27" s="134"/>
      <c r="I27" s="135"/>
      <c r="J27" s="76"/>
      <c r="K27" s="135">
        <v>1</v>
      </c>
      <c r="L27" s="76">
        <v>70</v>
      </c>
      <c r="M27" s="79" t="s">
        <v>214</v>
      </c>
    </row>
    <row r="28" spans="1:13" ht="15.75" x14ac:dyDescent="0.2">
      <c r="A28" s="132">
        <v>21</v>
      </c>
      <c r="B28" s="133" t="s">
        <v>200</v>
      </c>
      <c r="C28" s="133"/>
      <c r="D28" s="134"/>
      <c r="E28" s="134"/>
      <c r="F28" s="134"/>
      <c r="G28" s="134"/>
      <c r="H28" s="134"/>
      <c r="I28" s="135"/>
      <c r="J28" s="76"/>
      <c r="K28" s="135">
        <v>2</v>
      </c>
      <c r="L28" s="76">
        <f>5*2</f>
        <v>10</v>
      </c>
      <c r="M28" s="79" t="s">
        <v>255</v>
      </c>
    </row>
    <row r="29" spans="1:13" ht="15.75" x14ac:dyDescent="0.2">
      <c r="A29" s="132">
        <v>22</v>
      </c>
      <c r="B29" s="133" t="s">
        <v>256</v>
      </c>
      <c r="C29" s="133"/>
      <c r="D29" s="134"/>
      <c r="E29" s="134"/>
      <c r="F29" s="134"/>
      <c r="G29" s="134"/>
      <c r="H29" s="134"/>
      <c r="I29" s="135"/>
      <c r="J29" s="76"/>
      <c r="K29" s="135">
        <v>2</v>
      </c>
      <c r="L29" s="76">
        <f>14*2</f>
        <v>28</v>
      </c>
      <c r="M29" s="79"/>
    </row>
    <row r="30" spans="1:13" ht="15.75" x14ac:dyDescent="0.2">
      <c r="A30" s="132">
        <v>23</v>
      </c>
      <c r="B30" s="133" t="s">
        <v>201</v>
      </c>
      <c r="C30" s="133"/>
      <c r="D30" s="134" t="s">
        <v>34</v>
      </c>
      <c r="E30" s="134"/>
      <c r="F30" s="134"/>
      <c r="G30" s="134"/>
      <c r="H30" s="134"/>
      <c r="I30" s="135"/>
      <c r="J30" s="76"/>
      <c r="K30" s="135">
        <v>1</v>
      </c>
      <c r="L30" s="76">
        <v>6.7</v>
      </c>
      <c r="M30" s="79" t="s">
        <v>255</v>
      </c>
    </row>
    <row r="31" spans="1:13" ht="15.75" x14ac:dyDescent="0.2">
      <c r="A31" s="132">
        <v>24</v>
      </c>
      <c r="B31" s="133" t="s">
        <v>111</v>
      </c>
      <c r="C31" s="133"/>
      <c r="D31" s="134" t="s">
        <v>34</v>
      </c>
      <c r="E31" s="134"/>
      <c r="F31" s="134"/>
      <c r="G31" s="134"/>
      <c r="H31" s="134"/>
      <c r="I31" s="135"/>
      <c r="J31" s="76"/>
      <c r="K31" s="135">
        <v>1</v>
      </c>
      <c r="L31" s="76">
        <v>20</v>
      </c>
      <c r="M31" s="78" t="s">
        <v>257</v>
      </c>
    </row>
    <row r="32" spans="1:13" ht="15.75" x14ac:dyDescent="0.2">
      <c r="A32" s="132">
        <v>25</v>
      </c>
      <c r="B32" s="133" t="s">
        <v>202</v>
      </c>
      <c r="C32" s="133"/>
      <c r="D32" s="134" t="s">
        <v>216</v>
      </c>
      <c r="E32" s="134"/>
      <c r="F32" s="134"/>
      <c r="G32" s="134"/>
      <c r="H32" s="134"/>
      <c r="I32" s="135"/>
      <c r="J32" s="76"/>
      <c r="K32" s="135">
        <v>1</v>
      </c>
      <c r="L32" s="76">
        <v>24</v>
      </c>
      <c r="M32" s="78" t="s">
        <v>257</v>
      </c>
    </row>
    <row r="33" spans="1:13" ht="15.75" x14ac:dyDescent="0.2">
      <c r="A33" s="132">
        <v>26</v>
      </c>
      <c r="B33" s="133" t="s">
        <v>203</v>
      </c>
      <c r="C33" s="133"/>
      <c r="D33" s="134" t="s">
        <v>217</v>
      </c>
      <c r="E33" s="134"/>
      <c r="F33" s="134"/>
      <c r="G33" s="134"/>
      <c r="H33" s="134"/>
      <c r="I33" s="135"/>
      <c r="J33" s="76"/>
      <c r="K33" s="135">
        <v>1</v>
      </c>
      <c r="L33" s="76">
        <v>24</v>
      </c>
      <c r="M33" s="79" t="s">
        <v>255</v>
      </c>
    </row>
    <row r="34" spans="1:13" ht="15.75" x14ac:dyDescent="0.2">
      <c r="A34" s="132">
        <v>27</v>
      </c>
      <c r="B34" s="133" t="s">
        <v>204</v>
      </c>
      <c r="C34" s="133"/>
      <c r="D34" s="134" t="s">
        <v>217</v>
      </c>
      <c r="E34" s="134"/>
      <c r="F34" s="134"/>
      <c r="G34" s="134"/>
      <c r="H34" s="134"/>
      <c r="I34" s="135"/>
      <c r="J34" s="76"/>
      <c r="K34" s="135"/>
      <c r="L34" s="76">
        <f>10*0.8</f>
        <v>8</v>
      </c>
      <c r="M34" s="79" t="s">
        <v>258</v>
      </c>
    </row>
    <row r="35" spans="1:13" ht="15.75" x14ac:dyDescent="0.2">
      <c r="A35" s="132">
        <v>28</v>
      </c>
      <c r="B35" s="133" t="s">
        <v>205</v>
      </c>
      <c r="C35" s="133"/>
      <c r="D35" s="139" t="s">
        <v>34</v>
      </c>
      <c r="E35" s="134"/>
      <c r="F35" s="134"/>
      <c r="G35" s="134"/>
      <c r="H35" s="134"/>
      <c r="I35" s="135"/>
      <c r="J35" s="76"/>
      <c r="K35" s="140">
        <v>1</v>
      </c>
      <c r="L35" s="76">
        <v>24</v>
      </c>
      <c r="M35" s="80" t="s">
        <v>215</v>
      </c>
    </row>
    <row r="36" spans="1:13" ht="15.75" x14ac:dyDescent="0.2">
      <c r="A36" s="132">
        <v>29</v>
      </c>
      <c r="B36" s="133" t="s">
        <v>259</v>
      </c>
      <c r="C36" s="133"/>
      <c r="D36" s="139"/>
      <c r="E36" s="134"/>
      <c r="F36" s="134"/>
      <c r="G36" s="134"/>
      <c r="H36" s="134"/>
      <c r="I36" s="135">
        <v>1</v>
      </c>
      <c r="J36" s="76"/>
      <c r="K36" s="140">
        <v>1</v>
      </c>
      <c r="L36" s="76">
        <v>4.8</v>
      </c>
      <c r="M36" s="80" t="s">
        <v>255</v>
      </c>
    </row>
    <row r="37" spans="1:13" ht="15.75" x14ac:dyDescent="0.2">
      <c r="A37" s="132">
        <v>30</v>
      </c>
      <c r="B37" s="133" t="s">
        <v>206</v>
      </c>
      <c r="C37" s="133"/>
      <c r="D37" s="139" t="s">
        <v>34</v>
      </c>
      <c r="E37" s="134"/>
      <c r="F37" s="134">
        <v>1</v>
      </c>
      <c r="G37" s="134"/>
      <c r="H37" s="134"/>
      <c r="I37" s="135"/>
      <c r="J37" s="76"/>
      <c r="K37" s="140">
        <v>2</v>
      </c>
      <c r="L37" s="76">
        <f>F7*K37</f>
        <v>21.4</v>
      </c>
      <c r="M37" s="80" t="s">
        <v>215</v>
      </c>
    </row>
    <row r="38" spans="1:13" ht="15.75" x14ac:dyDescent="0.2">
      <c r="A38" s="132">
        <v>31</v>
      </c>
      <c r="B38" s="133" t="s">
        <v>207</v>
      </c>
      <c r="C38" s="133"/>
      <c r="D38" s="76"/>
      <c r="E38" s="134"/>
      <c r="F38" s="134">
        <v>1</v>
      </c>
      <c r="G38" s="134">
        <v>1</v>
      </c>
      <c r="H38" s="134"/>
      <c r="I38" s="135"/>
      <c r="J38" s="76"/>
      <c r="K38" s="140">
        <v>1</v>
      </c>
      <c r="L38" s="76">
        <v>10.7</v>
      </c>
      <c r="M38" s="80" t="s">
        <v>255</v>
      </c>
    </row>
    <row r="39" spans="1:13" ht="15.75" x14ac:dyDescent="0.25">
      <c r="A39" s="141">
        <v>32</v>
      </c>
      <c r="B39" s="133" t="s">
        <v>208</v>
      </c>
      <c r="C39" s="133"/>
      <c r="D39" s="76"/>
      <c r="E39" s="134"/>
      <c r="F39" s="134">
        <v>1</v>
      </c>
      <c r="G39" s="134"/>
      <c r="H39" s="134"/>
      <c r="I39" s="135">
        <v>1</v>
      </c>
      <c r="J39" s="76"/>
      <c r="K39" s="140">
        <v>1</v>
      </c>
      <c r="L39" s="76">
        <v>10.7</v>
      </c>
      <c r="M39" s="76"/>
    </row>
    <row r="40" spans="1:13" ht="15.75" x14ac:dyDescent="0.25">
      <c r="A40" s="141">
        <v>33</v>
      </c>
      <c r="B40" s="133" t="s">
        <v>209</v>
      </c>
      <c r="C40" s="133"/>
      <c r="D40" s="76"/>
      <c r="E40" s="134"/>
      <c r="F40" s="134"/>
      <c r="G40" s="134"/>
      <c r="H40" s="134"/>
      <c r="I40" s="135"/>
      <c r="J40" s="76"/>
      <c r="K40" s="140">
        <v>1</v>
      </c>
      <c r="L40" s="76">
        <v>12</v>
      </c>
      <c r="M40" s="76"/>
    </row>
    <row r="41" spans="1:13" ht="15.75" x14ac:dyDescent="0.25">
      <c r="A41" s="141">
        <v>34</v>
      </c>
      <c r="B41" s="133" t="s">
        <v>210</v>
      </c>
      <c r="C41" s="133"/>
      <c r="D41" s="76"/>
      <c r="E41" s="134"/>
      <c r="F41" s="134"/>
      <c r="G41" s="134"/>
      <c r="H41" s="134"/>
      <c r="I41" s="135"/>
      <c r="J41" s="76"/>
      <c r="K41" s="140">
        <v>1</v>
      </c>
      <c r="L41" s="76">
        <v>6</v>
      </c>
      <c r="M41" s="76"/>
    </row>
    <row r="42" spans="1:13" ht="15.75" x14ac:dyDescent="0.25">
      <c r="A42" s="141">
        <v>35</v>
      </c>
      <c r="B42" s="133" t="s">
        <v>260</v>
      </c>
      <c r="C42" s="133"/>
      <c r="D42" s="76"/>
      <c r="E42" s="134"/>
      <c r="F42" s="134"/>
      <c r="G42" s="134"/>
      <c r="H42" s="134"/>
      <c r="I42" s="135"/>
      <c r="J42" s="76"/>
      <c r="K42" s="140">
        <v>3</v>
      </c>
      <c r="L42" s="76">
        <v>0</v>
      </c>
      <c r="M42" s="76" t="s">
        <v>237</v>
      </c>
    </row>
    <row r="43" spans="1:13" ht="15.75" x14ac:dyDescent="0.25">
      <c r="A43" s="141"/>
      <c r="B43" s="133" t="s">
        <v>261</v>
      </c>
      <c r="C43" s="133"/>
      <c r="D43" s="76"/>
      <c r="E43" s="134"/>
      <c r="F43" s="134"/>
      <c r="G43" s="134"/>
      <c r="H43" s="134"/>
      <c r="I43" s="135"/>
      <c r="J43" s="76"/>
      <c r="K43" s="140">
        <v>1</v>
      </c>
      <c r="L43" s="76">
        <v>8</v>
      </c>
      <c r="M43" s="76"/>
    </row>
    <row r="44" spans="1:13" ht="15.75" x14ac:dyDescent="0.25">
      <c r="A44" s="141">
        <v>36</v>
      </c>
      <c r="B44" s="133" t="s">
        <v>211</v>
      </c>
      <c r="C44" s="133"/>
      <c r="D44" s="76" t="s">
        <v>217</v>
      </c>
      <c r="E44" s="134"/>
      <c r="F44" s="134"/>
      <c r="G44" s="134"/>
      <c r="H44" s="134"/>
      <c r="I44" s="135"/>
      <c r="J44" s="76"/>
      <c r="K44" s="140"/>
      <c r="L44" s="76">
        <f>15*0.8</f>
        <v>12</v>
      </c>
      <c r="M44" s="76" t="s">
        <v>262</v>
      </c>
    </row>
    <row r="45" spans="1:13" ht="16.5" thickBot="1" x14ac:dyDescent="0.3">
      <c r="A45" s="141"/>
      <c r="B45" s="491" t="s">
        <v>37</v>
      </c>
      <c r="C45" s="491"/>
      <c r="D45" s="492"/>
      <c r="E45" s="115"/>
      <c r="F45" s="115"/>
      <c r="G45" s="115"/>
      <c r="H45" s="115"/>
      <c r="I45" s="493"/>
      <c r="J45" s="492"/>
      <c r="K45" s="494"/>
      <c r="L45" s="492">
        <v>100</v>
      </c>
      <c r="M45" s="492"/>
    </row>
    <row r="46" spans="1:13" ht="15.75" x14ac:dyDescent="0.25">
      <c r="A46" s="490">
        <v>37</v>
      </c>
      <c r="B46" s="495" t="s">
        <v>152</v>
      </c>
      <c r="C46" s="496">
        <f>SUM(C8:C44)</f>
        <v>62</v>
      </c>
      <c r="D46" s="497"/>
      <c r="E46" s="498"/>
      <c r="F46" s="498"/>
      <c r="G46" s="498"/>
      <c r="H46" s="498"/>
      <c r="I46" s="499"/>
      <c r="J46" s="497"/>
      <c r="K46" s="500"/>
      <c r="L46" s="501">
        <f>SUM(L8:L45)</f>
        <v>1050.6500000000001</v>
      </c>
      <c r="M46" s="502"/>
    </row>
    <row r="47" spans="1:13" ht="16.5" thickBot="1" x14ac:dyDescent="0.3">
      <c r="A47" s="490">
        <v>38</v>
      </c>
      <c r="B47" s="503" t="s">
        <v>263</v>
      </c>
      <c r="C47" s="504"/>
      <c r="D47" s="505"/>
      <c r="E47" s="505"/>
      <c r="F47" s="505"/>
      <c r="G47" s="505"/>
      <c r="H47" s="505"/>
      <c r="I47" s="505"/>
      <c r="J47" s="505"/>
      <c r="K47" s="505"/>
      <c r="L47" s="506">
        <f>L46*1.7</f>
        <v>1786.105</v>
      </c>
      <c r="M47" s="507"/>
    </row>
    <row r="48" spans="1:13" x14ac:dyDescent="0.2">
      <c r="A48" s="142"/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</row>
    <row r="49" spans="1:13" ht="15" x14ac:dyDescent="0.25">
      <c r="A49" s="142"/>
      <c r="B49" s="143"/>
      <c r="C49" s="143"/>
      <c r="D49" s="142"/>
      <c r="E49" s="142"/>
      <c r="F49" s="142"/>
      <c r="G49" s="142"/>
      <c r="H49" s="142"/>
      <c r="I49" s="142"/>
      <c r="J49" s="142"/>
      <c r="K49" s="142"/>
      <c r="L49" s="142"/>
      <c r="M49" s="142"/>
    </row>
  </sheetData>
  <mergeCells count="8">
    <mergeCell ref="B2:M2"/>
    <mergeCell ref="B3:M3"/>
    <mergeCell ref="D6:D7"/>
    <mergeCell ref="E6:H6"/>
    <mergeCell ref="I6:I7"/>
    <mergeCell ref="J6:J7"/>
    <mergeCell ref="K6:K7"/>
    <mergeCell ref="L6:L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S94"/>
  <sheetViews>
    <sheetView rightToLeft="1" topLeftCell="A82" zoomScale="115" zoomScaleNormal="115" workbookViewId="0">
      <selection activeCell="B97" sqref="B97"/>
    </sheetView>
  </sheetViews>
  <sheetFormatPr defaultRowHeight="14.25" x14ac:dyDescent="0.2"/>
  <cols>
    <col min="1" max="1" width="11.125" customWidth="1"/>
    <col min="2" max="2" width="19" style="310" customWidth="1"/>
    <col min="3" max="3" width="4.375" style="311" customWidth="1"/>
    <col min="4" max="5" width="5" style="311" customWidth="1"/>
    <col min="6" max="6" width="5.125" style="311" customWidth="1"/>
    <col min="7" max="7" width="5.875" style="311" customWidth="1"/>
    <col min="8" max="8" width="6.125" style="311" customWidth="1"/>
    <col min="9" max="9" width="6.625" style="311" customWidth="1"/>
    <col min="10" max="10" width="5.5" style="311" customWidth="1"/>
    <col min="11" max="11" width="20.25" style="393" customWidth="1"/>
    <col min="12" max="12" width="5.875" customWidth="1"/>
    <col min="13" max="13" width="6.375" customWidth="1"/>
    <col min="14" max="14" width="7.375" customWidth="1"/>
    <col min="15" max="15" width="5.375" customWidth="1"/>
    <col min="16" max="16" width="6.625" customWidth="1"/>
    <col min="17" max="17" width="3.625" customWidth="1"/>
  </cols>
  <sheetData>
    <row r="3" spans="1:15" ht="27.75" customHeight="1" x14ac:dyDescent="0.2">
      <c r="A3" s="610" t="s">
        <v>388</v>
      </c>
      <c r="B3" s="610"/>
      <c r="C3" s="610"/>
      <c r="D3" s="610"/>
      <c r="E3" s="610"/>
      <c r="F3" s="610"/>
      <c r="G3" s="610"/>
      <c r="H3" s="610"/>
      <c r="I3" s="610"/>
      <c r="J3" s="610"/>
      <c r="K3" s="610"/>
    </row>
    <row r="4" spans="1:15" ht="18" customHeight="1" x14ac:dyDescent="0.2">
      <c r="A4" s="611" t="s">
        <v>389</v>
      </c>
      <c r="B4" s="611"/>
      <c r="C4" s="611"/>
      <c r="D4" s="611"/>
      <c r="E4" s="611"/>
      <c r="F4" s="611"/>
      <c r="G4" s="611"/>
      <c r="H4" s="611"/>
      <c r="I4" s="611"/>
      <c r="J4" s="611"/>
      <c r="K4" s="611"/>
    </row>
    <row r="5" spans="1:15" ht="24.75" customHeight="1" x14ac:dyDescent="0.4">
      <c r="B5" s="312"/>
      <c r="C5"/>
      <c r="F5" s="313"/>
      <c r="K5" s="392" t="s">
        <v>406</v>
      </c>
    </row>
    <row r="6" spans="1:15" ht="21.75" customHeight="1" x14ac:dyDescent="0.2">
      <c r="A6" s="612" t="s">
        <v>407</v>
      </c>
      <c r="B6" s="612"/>
      <c r="C6" s="612"/>
      <c r="D6" s="612"/>
      <c r="E6" s="612"/>
      <c r="F6" s="612"/>
      <c r="G6" s="612"/>
      <c r="H6" s="612"/>
      <c r="I6" s="612"/>
      <c r="J6" s="612"/>
      <c r="K6" s="612"/>
    </row>
    <row r="7" spans="1:15" ht="21" customHeight="1" x14ac:dyDescent="0.4">
      <c r="F7" s="313"/>
    </row>
    <row r="8" spans="1:15" ht="58.5" customHeight="1" x14ac:dyDescent="0.3">
      <c r="A8" s="315"/>
      <c r="B8" s="394"/>
      <c r="C8" s="317"/>
      <c r="D8" s="395"/>
      <c r="E8" s="396" t="s">
        <v>408</v>
      </c>
      <c r="F8" s="397"/>
      <c r="G8" s="317"/>
      <c r="H8" s="317"/>
      <c r="I8" s="317"/>
      <c r="J8" s="317"/>
      <c r="K8" s="398" t="s">
        <v>409</v>
      </c>
      <c r="O8" t="s">
        <v>16</v>
      </c>
    </row>
    <row r="9" spans="1:15" ht="14.25" customHeight="1" x14ac:dyDescent="0.25">
      <c r="A9" s="315"/>
      <c r="B9" s="399" t="s">
        <v>6</v>
      </c>
      <c r="C9" s="400" t="s">
        <v>410</v>
      </c>
      <c r="D9" s="400" t="s">
        <v>411</v>
      </c>
      <c r="E9" s="400" t="s">
        <v>121</v>
      </c>
      <c r="F9" s="400" t="s">
        <v>33</v>
      </c>
      <c r="G9" s="400" t="s">
        <v>412</v>
      </c>
      <c r="H9" s="400" t="s">
        <v>413</v>
      </c>
      <c r="I9" s="400" t="s">
        <v>236</v>
      </c>
      <c r="J9" s="400" t="s">
        <v>26</v>
      </c>
      <c r="K9" s="401" t="s">
        <v>11</v>
      </c>
    </row>
    <row r="10" spans="1:15" ht="14.25" customHeight="1" x14ac:dyDescent="0.25">
      <c r="A10" s="402"/>
      <c r="B10" s="403" t="s">
        <v>414</v>
      </c>
      <c r="C10" s="404" t="s">
        <v>30</v>
      </c>
      <c r="D10" s="405">
        <v>1</v>
      </c>
      <c r="E10" s="405">
        <v>0</v>
      </c>
      <c r="F10" s="405">
        <f>E10+D10</f>
        <v>1</v>
      </c>
      <c r="G10" s="405">
        <v>1</v>
      </c>
      <c r="H10" s="405">
        <v>13.3</v>
      </c>
      <c r="I10" s="405">
        <v>13.3</v>
      </c>
      <c r="J10" s="405" t="s">
        <v>27</v>
      </c>
      <c r="K10" s="406" t="s">
        <v>415</v>
      </c>
      <c r="M10" t="s">
        <v>16</v>
      </c>
    </row>
    <row r="11" spans="1:15" ht="14.25" customHeight="1" x14ac:dyDescent="0.25">
      <c r="A11" s="402"/>
      <c r="B11" s="403" t="s">
        <v>416</v>
      </c>
      <c r="C11" s="404"/>
      <c r="D11" s="405">
        <v>1</v>
      </c>
      <c r="E11" s="405">
        <v>0</v>
      </c>
      <c r="F11" s="405">
        <f t="shared" ref="F11:F18" si="0">E11+D11</f>
        <v>1</v>
      </c>
      <c r="G11" s="405">
        <v>1</v>
      </c>
      <c r="H11" s="405">
        <v>10.7</v>
      </c>
      <c r="I11" s="405">
        <v>10.7</v>
      </c>
      <c r="J11" s="405" t="s">
        <v>27</v>
      </c>
      <c r="K11" s="406" t="s">
        <v>417</v>
      </c>
      <c r="M11" t="s">
        <v>16</v>
      </c>
    </row>
    <row r="12" spans="1:15" ht="14.25" customHeight="1" x14ac:dyDescent="0.25">
      <c r="A12" s="402"/>
      <c r="B12" s="403" t="s">
        <v>68</v>
      </c>
      <c r="C12" s="404" t="s">
        <v>15</v>
      </c>
      <c r="D12" s="405">
        <v>1</v>
      </c>
      <c r="E12" s="405">
        <v>0</v>
      </c>
      <c r="F12" s="405">
        <f t="shared" si="0"/>
        <v>1</v>
      </c>
      <c r="G12" s="405">
        <v>1</v>
      </c>
      <c r="H12" s="405">
        <v>10.7</v>
      </c>
      <c r="I12" s="405">
        <v>10.7</v>
      </c>
      <c r="J12" s="405" t="s">
        <v>27</v>
      </c>
      <c r="K12" s="406" t="s">
        <v>418</v>
      </c>
    </row>
    <row r="13" spans="1:15" ht="24.75" x14ac:dyDescent="0.25">
      <c r="A13" s="407" t="s">
        <v>419</v>
      </c>
      <c r="B13" s="403" t="s">
        <v>420</v>
      </c>
      <c r="C13" s="404"/>
      <c r="D13" s="405" t="s">
        <v>16</v>
      </c>
      <c r="E13" s="405" t="s">
        <v>16</v>
      </c>
      <c r="F13" s="405" t="s">
        <v>16</v>
      </c>
      <c r="G13" s="405">
        <v>1</v>
      </c>
      <c r="H13" s="405">
        <v>30</v>
      </c>
      <c r="I13" s="405">
        <f t="shared" ref="I13:I19" si="1">G13*H13</f>
        <v>30</v>
      </c>
      <c r="J13" s="405" t="s">
        <v>27</v>
      </c>
      <c r="K13" s="408" t="s">
        <v>421</v>
      </c>
      <c r="N13" t="s">
        <v>16</v>
      </c>
      <c r="O13" t="s">
        <v>16</v>
      </c>
    </row>
    <row r="14" spans="1:15" ht="14.25" customHeight="1" x14ac:dyDescent="0.25">
      <c r="A14" s="402" t="s">
        <v>422</v>
      </c>
      <c r="B14" s="403" t="s">
        <v>138</v>
      </c>
      <c r="C14" s="404"/>
      <c r="D14" s="405" t="s">
        <v>16</v>
      </c>
      <c r="E14" s="405" t="s">
        <v>16</v>
      </c>
      <c r="F14" s="405" t="s">
        <v>16</v>
      </c>
      <c r="G14" s="405">
        <v>1</v>
      </c>
      <c r="H14" s="405">
        <v>3.2</v>
      </c>
      <c r="I14" s="405">
        <f t="shared" si="1"/>
        <v>3.2</v>
      </c>
      <c r="J14" s="405" t="s">
        <v>28</v>
      </c>
      <c r="K14" s="406" t="s">
        <v>423</v>
      </c>
      <c r="M14" t="s">
        <v>16</v>
      </c>
    </row>
    <row r="15" spans="1:15" ht="15" x14ac:dyDescent="0.25">
      <c r="A15" s="402"/>
      <c r="B15" s="403" t="s">
        <v>424</v>
      </c>
      <c r="C15" s="404" t="s">
        <v>12</v>
      </c>
      <c r="D15" s="405">
        <v>1</v>
      </c>
      <c r="E15" s="405">
        <v>0</v>
      </c>
      <c r="F15" s="405">
        <f t="shared" si="0"/>
        <v>1</v>
      </c>
      <c r="G15" s="405">
        <v>1</v>
      </c>
      <c r="H15" s="405">
        <v>10.7</v>
      </c>
      <c r="I15" s="405">
        <v>10.7</v>
      </c>
      <c r="J15" s="405" t="s">
        <v>27</v>
      </c>
      <c r="K15" s="406" t="s">
        <v>425</v>
      </c>
    </row>
    <row r="16" spans="1:15" ht="36.75" x14ac:dyDescent="0.25">
      <c r="A16" s="402"/>
      <c r="B16" s="403" t="s">
        <v>69</v>
      </c>
      <c r="C16" s="404" t="s">
        <v>13</v>
      </c>
      <c r="D16" s="405">
        <v>1</v>
      </c>
      <c r="E16" s="405">
        <v>0</v>
      </c>
      <c r="F16" s="405">
        <f t="shared" si="0"/>
        <v>1</v>
      </c>
      <c r="G16" s="405">
        <v>1</v>
      </c>
      <c r="H16" s="405">
        <v>10.7</v>
      </c>
      <c r="I16" s="405">
        <f t="shared" si="1"/>
        <v>10.7</v>
      </c>
      <c r="J16" s="405" t="s">
        <v>27</v>
      </c>
      <c r="K16" s="408" t="s">
        <v>426</v>
      </c>
      <c r="L16" s="409"/>
    </row>
    <row r="17" spans="1:15" ht="15" x14ac:dyDescent="0.25">
      <c r="A17" s="402"/>
      <c r="B17" s="403" t="s">
        <v>427</v>
      </c>
      <c r="C17" s="404" t="s">
        <v>15</v>
      </c>
      <c r="D17" s="405">
        <v>1</v>
      </c>
      <c r="E17" s="405">
        <v>0</v>
      </c>
      <c r="F17" s="405">
        <f t="shared" si="0"/>
        <v>1</v>
      </c>
      <c r="G17" s="405">
        <v>1</v>
      </c>
      <c r="H17" s="405">
        <v>10.7</v>
      </c>
      <c r="I17" s="405">
        <f>H17*G17</f>
        <v>10.7</v>
      </c>
      <c r="J17" s="405" t="s">
        <v>27</v>
      </c>
      <c r="K17" s="406" t="s">
        <v>428</v>
      </c>
    </row>
    <row r="18" spans="1:15" ht="14.25" customHeight="1" x14ac:dyDescent="0.25">
      <c r="A18" s="402"/>
      <c r="B18" s="403" t="s">
        <v>429</v>
      </c>
      <c r="C18" s="404" t="s">
        <v>374</v>
      </c>
      <c r="D18" s="405">
        <v>1</v>
      </c>
      <c r="E18" s="405">
        <v>0</v>
      </c>
      <c r="F18" s="405">
        <f t="shared" si="0"/>
        <v>1</v>
      </c>
      <c r="G18" s="405">
        <v>1</v>
      </c>
      <c r="H18" s="405">
        <v>4.2</v>
      </c>
      <c r="I18" s="405">
        <f t="shared" si="1"/>
        <v>4.2</v>
      </c>
      <c r="J18" s="405" t="s">
        <v>28</v>
      </c>
      <c r="K18" s="406"/>
    </row>
    <row r="19" spans="1:15" ht="15.75" hidden="1" customHeight="1" x14ac:dyDescent="0.25">
      <c r="A19" s="402"/>
      <c r="B19" s="403" t="s">
        <v>430</v>
      </c>
      <c r="C19" s="404"/>
      <c r="D19" s="405" t="s">
        <v>16</v>
      </c>
      <c r="E19" s="405" t="s">
        <v>16</v>
      </c>
      <c r="F19" s="405" t="s">
        <v>431</v>
      </c>
      <c r="G19" s="405">
        <v>1</v>
      </c>
      <c r="H19" s="405">
        <v>5</v>
      </c>
      <c r="I19" s="405">
        <f t="shared" si="1"/>
        <v>5</v>
      </c>
      <c r="J19" s="405" t="s">
        <v>28</v>
      </c>
      <c r="K19" s="406" t="s">
        <v>432</v>
      </c>
    </row>
    <row r="20" spans="1:15" ht="15.75" hidden="1" customHeight="1" x14ac:dyDescent="0.25">
      <c r="A20" s="410"/>
      <c r="B20" s="403"/>
      <c r="C20" s="404"/>
      <c r="D20" s="405"/>
      <c r="E20" s="405">
        <v>0</v>
      </c>
      <c r="F20" s="405"/>
      <c r="G20" s="405"/>
      <c r="H20" s="405"/>
      <c r="I20" s="405"/>
      <c r="J20" s="405"/>
      <c r="K20" s="406"/>
    </row>
    <row r="21" spans="1:15" ht="15.75" hidden="1" customHeight="1" x14ac:dyDescent="0.25">
      <c r="A21" s="410"/>
      <c r="B21" s="403"/>
      <c r="C21" s="404"/>
      <c r="D21" s="405"/>
      <c r="E21" s="405">
        <v>0</v>
      </c>
      <c r="F21" s="405"/>
      <c r="G21" s="405"/>
      <c r="H21" s="405"/>
      <c r="I21" s="405"/>
      <c r="J21" s="405"/>
      <c r="K21" s="406"/>
    </row>
    <row r="22" spans="1:15" ht="14.25" customHeight="1" x14ac:dyDescent="0.25">
      <c r="A22" s="411"/>
      <c r="B22" s="403"/>
      <c r="C22" s="404"/>
      <c r="D22" s="405"/>
      <c r="E22" s="405">
        <v>0</v>
      </c>
      <c r="F22" s="405"/>
      <c r="G22" s="405"/>
      <c r="H22" s="405"/>
      <c r="I22" s="405"/>
      <c r="J22" s="405"/>
      <c r="K22" s="406"/>
      <c r="N22" t="s">
        <v>16</v>
      </c>
    </row>
    <row r="23" spans="1:15" ht="15" x14ac:dyDescent="0.25">
      <c r="A23" s="412"/>
      <c r="B23" s="413" t="s">
        <v>33</v>
      </c>
      <c r="C23" s="414"/>
      <c r="D23" s="414">
        <f>SUM(D10:D19)</f>
        <v>7</v>
      </c>
      <c r="E23" s="414">
        <f t="shared" ref="E23:I23" si="2">SUM(E10:E19)</f>
        <v>0</v>
      </c>
      <c r="F23" s="414">
        <f t="shared" si="2"/>
        <v>7</v>
      </c>
      <c r="G23" s="414">
        <f t="shared" si="2"/>
        <v>10</v>
      </c>
      <c r="H23" s="414">
        <f t="shared" si="2"/>
        <v>109.20000000000002</v>
      </c>
      <c r="I23" s="414">
        <f t="shared" si="2"/>
        <v>109.20000000000002</v>
      </c>
      <c r="J23" s="414"/>
      <c r="K23" s="415"/>
    </row>
    <row r="24" spans="1:15" ht="15" x14ac:dyDescent="0.25">
      <c r="A24" s="416" t="s">
        <v>74</v>
      </c>
      <c r="B24" s="403" t="s">
        <v>86</v>
      </c>
      <c r="C24" s="404" t="s">
        <v>15</v>
      </c>
      <c r="D24" s="405">
        <v>1</v>
      </c>
      <c r="E24" s="405">
        <v>0</v>
      </c>
      <c r="F24" s="405">
        <f t="shared" ref="F24" si="3">E24+D24</f>
        <v>1</v>
      </c>
      <c r="G24" s="405">
        <v>1</v>
      </c>
      <c r="H24" s="405">
        <v>6.65</v>
      </c>
      <c r="I24" s="405">
        <v>6.65</v>
      </c>
      <c r="J24" s="405" t="s">
        <v>27</v>
      </c>
      <c r="K24" s="406" t="s">
        <v>433</v>
      </c>
    </row>
    <row r="25" spans="1:15" ht="15" x14ac:dyDescent="0.25">
      <c r="A25" s="315"/>
      <c r="B25" s="413" t="s">
        <v>33</v>
      </c>
      <c r="C25" s="414"/>
      <c r="D25" s="414">
        <f>SUM(D24:D24)</f>
        <v>1</v>
      </c>
      <c r="E25" s="414">
        <f t="shared" ref="E25:I25" si="4">SUM(E24:E24)</f>
        <v>0</v>
      </c>
      <c r="F25" s="414">
        <f t="shared" si="4"/>
        <v>1</v>
      </c>
      <c r="G25" s="414">
        <f t="shared" si="4"/>
        <v>1</v>
      </c>
      <c r="H25" s="414">
        <f t="shared" si="4"/>
        <v>6.65</v>
      </c>
      <c r="I25" s="414">
        <f t="shared" si="4"/>
        <v>6.65</v>
      </c>
      <c r="J25" s="414"/>
      <c r="K25" s="415"/>
    </row>
    <row r="26" spans="1:15" ht="15" x14ac:dyDescent="0.25">
      <c r="A26" s="402"/>
      <c r="B26" s="417" t="s">
        <v>71</v>
      </c>
      <c r="C26" s="404" t="s">
        <v>15</v>
      </c>
      <c r="D26" s="405">
        <v>1</v>
      </c>
      <c r="E26" s="405">
        <v>0</v>
      </c>
      <c r="F26" s="405">
        <f t="shared" ref="F26" si="5">E26+D26</f>
        <v>1</v>
      </c>
      <c r="G26" s="405">
        <v>1</v>
      </c>
      <c r="H26" s="405">
        <v>6.65</v>
      </c>
      <c r="I26" s="405">
        <f t="shared" ref="I26:I29" si="6">G26*H26</f>
        <v>6.65</v>
      </c>
      <c r="J26" s="405" t="s">
        <v>27</v>
      </c>
      <c r="K26" s="406" t="s">
        <v>434</v>
      </c>
    </row>
    <row r="27" spans="1:15" ht="15" x14ac:dyDescent="0.25">
      <c r="A27" s="402" t="s">
        <v>70</v>
      </c>
      <c r="B27" s="417" t="s">
        <v>435</v>
      </c>
      <c r="C27" s="404" t="s">
        <v>13</v>
      </c>
      <c r="D27" s="405">
        <v>5</v>
      </c>
      <c r="E27" s="405">
        <v>0</v>
      </c>
      <c r="F27" s="405">
        <v>5</v>
      </c>
      <c r="G27" s="405">
        <v>3</v>
      </c>
      <c r="H27" s="405">
        <v>6.65</v>
      </c>
      <c r="I27" s="405">
        <f>H27*G27</f>
        <v>19.950000000000003</v>
      </c>
      <c r="J27" s="405" t="s">
        <v>27</v>
      </c>
      <c r="K27" s="406" t="s">
        <v>436</v>
      </c>
    </row>
    <row r="28" spans="1:15" ht="24.75" x14ac:dyDescent="0.25">
      <c r="A28" s="402"/>
      <c r="B28" s="417" t="s">
        <v>437</v>
      </c>
      <c r="C28" s="404"/>
      <c r="D28" s="405"/>
      <c r="E28" s="405"/>
      <c r="F28" s="405"/>
      <c r="G28" s="405">
        <v>1</v>
      </c>
      <c r="H28" s="405">
        <v>15</v>
      </c>
      <c r="I28" s="405">
        <f t="shared" si="6"/>
        <v>15</v>
      </c>
      <c r="J28" s="405"/>
      <c r="K28" s="408" t="s">
        <v>438</v>
      </c>
    </row>
    <row r="29" spans="1:15" ht="15" x14ac:dyDescent="0.25">
      <c r="A29" s="402"/>
      <c r="B29" s="417" t="s">
        <v>73</v>
      </c>
      <c r="C29" s="404"/>
      <c r="D29" s="405"/>
      <c r="E29" s="405"/>
      <c r="F29" s="405"/>
      <c r="G29" s="405">
        <v>1</v>
      </c>
      <c r="H29" s="405">
        <v>4</v>
      </c>
      <c r="I29" s="405">
        <f t="shared" si="6"/>
        <v>4</v>
      </c>
      <c r="J29" s="405" t="s">
        <v>28</v>
      </c>
      <c r="K29" s="406" t="s">
        <v>439</v>
      </c>
    </row>
    <row r="30" spans="1:15" ht="15" x14ac:dyDescent="0.25">
      <c r="A30" s="410"/>
      <c r="B30" s="413" t="s">
        <v>33</v>
      </c>
      <c r="C30" s="414"/>
      <c r="D30" s="414">
        <f t="shared" ref="D30:I30" si="7">SUM(D26:D29)</f>
        <v>6</v>
      </c>
      <c r="E30" s="414">
        <f t="shared" si="7"/>
        <v>0</v>
      </c>
      <c r="F30" s="414">
        <f t="shared" si="7"/>
        <v>6</v>
      </c>
      <c r="G30" s="414">
        <f t="shared" si="7"/>
        <v>6</v>
      </c>
      <c r="H30" s="414">
        <f t="shared" si="7"/>
        <v>32.299999999999997</v>
      </c>
      <c r="I30" s="414">
        <f t="shared" si="7"/>
        <v>45.6</v>
      </c>
      <c r="J30" s="414"/>
      <c r="K30" s="415"/>
    </row>
    <row r="31" spans="1:15" ht="15" x14ac:dyDescent="0.25">
      <c r="A31" s="402"/>
      <c r="B31" s="417" t="s">
        <v>76</v>
      </c>
      <c r="C31" s="404" t="s">
        <v>12</v>
      </c>
      <c r="D31" s="405">
        <v>2</v>
      </c>
      <c r="E31" s="405">
        <v>0</v>
      </c>
      <c r="F31" s="405">
        <f t="shared" ref="F31:F36" si="8">E31+D31</f>
        <v>2</v>
      </c>
      <c r="G31" s="405">
        <v>2</v>
      </c>
      <c r="H31" s="405">
        <v>10.7</v>
      </c>
      <c r="I31" s="405">
        <f>H31*1</f>
        <v>10.7</v>
      </c>
      <c r="J31" s="405" t="s">
        <v>27</v>
      </c>
      <c r="K31" s="406" t="s">
        <v>440</v>
      </c>
      <c r="O31" t="s">
        <v>16</v>
      </c>
    </row>
    <row r="32" spans="1:15" ht="14.25" customHeight="1" x14ac:dyDescent="0.25">
      <c r="A32" s="402"/>
      <c r="B32" s="417" t="s">
        <v>77</v>
      </c>
      <c r="C32" s="404" t="s">
        <v>15</v>
      </c>
      <c r="D32" s="405">
        <v>2</v>
      </c>
      <c r="E32" s="405">
        <v>0</v>
      </c>
      <c r="F32" s="405">
        <f t="shared" si="8"/>
        <v>2</v>
      </c>
      <c r="G32" s="405">
        <v>1</v>
      </c>
      <c r="H32" s="405">
        <v>6.65</v>
      </c>
      <c r="I32" s="405">
        <f>H32*F32</f>
        <v>13.3</v>
      </c>
      <c r="J32" s="405" t="s">
        <v>27</v>
      </c>
      <c r="K32" s="406" t="s">
        <v>238</v>
      </c>
      <c r="L32" t="s">
        <v>16</v>
      </c>
    </row>
    <row r="33" spans="1:19" ht="24.75" x14ac:dyDescent="0.25">
      <c r="A33" s="402"/>
      <c r="B33" s="417" t="s">
        <v>78</v>
      </c>
      <c r="C33" s="404" t="s">
        <v>274</v>
      </c>
      <c r="D33" s="405">
        <v>0</v>
      </c>
      <c r="E33" s="405">
        <v>0</v>
      </c>
      <c r="F33" s="405">
        <f t="shared" si="8"/>
        <v>0</v>
      </c>
      <c r="G33" s="405">
        <v>0</v>
      </c>
      <c r="H33" s="405">
        <v>6.65</v>
      </c>
      <c r="I33" s="405">
        <f t="shared" ref="I33:I37" si="9">G33*H33</f>
        <v>0</v>
      </c>
      <c r="J33" s="405" t="s">
        <v>27</v>
      </c>
      <c r="K33" s="408" t="s">
        <v>441</v>
      </c>
    </row>
    <row r="34" spans="1:19" ht="14.25" customHeight="1" x14ac:dyDescent="0.25">
      <c r="A34" s="402" t="s">
        <v>75</v>
      </c>
      <c r="B34" s="417" t="s">
        <v>442</v>
      </c>
      <c r="C34" s="404" t="s">
        <v>13</v>
      </c>
      <c r="D34" s="405">
        <v>12</v>
      </c>
      <c r="E34" s="405">
        <v>0</v>
      </c>
      <c r="F34" s="405">
        <f t="shared" si="8"/>
        <v>12</v>
      </c>
      <c r="G34" s="405">
        <v>6.65</v>
      </c>
      <c r="H34" s="405">
        <v>10.7</v>
      </c>
      <c r="I34" s="405">
        <f>H34*G34</f>
        <v>71.155000000000001</v>
      </c>
      <c r="J34" s="405" t="s">
        <v>27</v>
      </c>
      <c r="K34" s="406" t="s">
        <v>436</v>
      </c>
    </row>
    <row r="35" spans="1:19" ht="14.25" customHeight="1" x14ac:dyDescent="0.25">
      <c r="A35" s="402"/>
      <c r="B35" s="417" t="s">
        <v>60</v>
      </c>
      <c r="C35" s="404"/>
      <c r="D35" s="405"/>
      <c r="E35" s="405"/>
      <c r="F35" s="405" t="s">
        <v>16</v>
      </c>
      <c r="G35" s="405">
        <v>1</v>
      </c>
      <c r="H35" s="405">
        <v>4</v>
      </c>
      <c r="I35" s="405">
        <f t="shared" si="9"/>
        <v>4</v>
      </c>
      <c r="J35" s="405" t="s">
        <v>28</v>
      </c>
      <c r="K35" s="406" t="s">
        <v>439</v>
      </c>
      <c r="M35" t="s">
        <v>16</v>
      </c>
    </row>
    <row r="36" spans="1:19" ht="14.25" customHeight="1" x14ac:dyDescent="0.25">
      <c r="A36" s="402"/>
      <c r="B36" s="417" t="s">
        <v>79</v>
      </c>
      <c r="C36" s="404" t="s">
        <v>374</v>
      </c>
      <c r="D36" s="405">
        <v>0</v>
      </c>
      <c r="E36" s="405">
        <v>0</v>
      </c>
      <c r="F36" s="405">
        <f t="shared" si="8"/>
        <v>0</v>
      </c>
      <c r="G36" s="405">
        <v>0</v>
      </c>
      <c r="H36" s="405">
        <v>4.2</v>
      </c>
      <c r="I36" s="405">
        <f t="shared" si="9"/>
        <v>0</v>
      </c>
      <c r="J36" s="405" t="s">
        <v>27</v>
      </c>
      <c r="K36" s="406" t="s">
        <v>443</v>
      </c>
    </row>
    <row r="37" spans="1:19" ht="30" customHeight="1" x14ac:dyDescent="0.25">
      <c r="A37" s="402"/>
      <c r="B37" s="417" t="s">
        <v>80</v>
      </c>
      <c r="C37" s="404"/>
      <c r="D37" s="405"/>
      <c r="E37" s="405"/>
      <c r="F37" s="405"/>
      <c r="G37" s="405">
        <v>1</v>
      </c>
      <c r="H37" s="405">
        <v>400</v>
      </c>
      <c r="I37" s="405">
        <f t="shared" si="9"/>
        <v>400</v>
      </c>
      <c r="J37" s="405" t="s">
        <v>27</v>
      </c>
      <c r="K37" s="408" t="s">
        <v>444</v>
      </c>
    </row>
    <row r="38" spans="1:19" ht="14.25" customHeight="1" x14ac:dyDescent="0.25">
      <c r="A38" s="410"/>
      <c r="B38" s="413" t="s">
        <v>33</v>
      </c>
      <c r="C38" s="414"/>
      <c r="D38" s="414">
        <f>SUM(D31:D37)</f>
        <v>16</v>
      </c>
      <c r="E38" s="414">
        <f t="shared" ref="E38:I38" si="10">SUM(E31:E37)</f>
        <v>0</v>
      </c>
      <c r="F38" s="414">
        <f t="shared" si="10"/>
        <v>16</v>
      </c>
      <c r="G38" s="414">
        <f t="shared" si="10"/>
        <v>11.65</v>
      </c>
      <c r="H38" s="414">
        <f t="shared" si="10"/>
        <v>442.9</v>
      </c>
      <c r="I38" s="414">
        <f t="shared" si="10"/>
        <v>499.15499999999997</v>
      </c>
      <c r="J38" s="414"/>
      <c r="K38" s="415"/>
    </row>
    <row r="39" spans="1:19" ht="14.25" customHeight="1" x14ac:dyDescent="0.25">
      <c r="A39" s="402" t="s">
        <v>84</v>
      </c>
      <c r="B39" s="417" t="s">
        <v>85</v>
      </c>
      <c r="C39" s="404" t="s">
        <v>12</v>
      </c>
      <c r="D39" s="405">
        <v>1</v>
      </c>
      <c r="E39" s="405">
        <v>0</v>
      </c>
      <c r="F39" s="405">
        <f t="shared" ref="F39:F43" si="11">E39+D39</f>
        <v>1</v>
      </c>
      <c r="G39" s="405">
        <v>1</v>
      </c>
      <c r="H39" s="405">
        <v>10.7</v>
      </c>
      <c r="I39" s="405">
        <v>10.7</v>
      </c>
      <c r="J39" s="405" t="s">
        <v>27</v>
      </c>
      <c r="K39" s="406" t="s">
        <v>445</v>
      </c>
    </row>
    <row r="40" spans="1:19" ht="14.25" customHeight="1" x14ac:dyDescent="0.25">
      <c r="A40" s="402"/>
      <c r="B40" s="417" t="s">
        <v>83</v>
      </c>
      <c r="C40" s="404" t="s">
        <v>274</v>
      </c>
      <c r="D40" s="405">
        <v>1</v>
      </c>
      <c r="E40" s="405">
        <v>0</v>
      </c>
      <c r="F40" s="405">
        <f t="shared" si="11"/>
        <v>1</v>
      </c>
      <c r="G40" s="405">
        <v>2</v>
      </c>
      <c r="H40" s="405">
        <v>6.65</v>
      </c>
      <c r="I40" s="405">
        <f t="shared" ref="I40:I45" si="12">G40*H40</f>
        <v>13.3</v>
      </c>
      <c r="J40" s="405" t="s">
        <v>27</v>
      </c>
      <c r="K40" s="406" t="s">
        <v>436</v>
      </c>
    </row>
    <row r="41" spans="1:19" ht="14.25" customHeight="1" x14ac:dyDescent="0.25">
      <c r="A41" s="402"/>
      <c r="B41" s="417" t="s">
        <v>86</v>
      </c>
      <c r="C41" s="404" t="s">
        <v>15</v>
      </c>
      <c r="D41" s="405">
        <v>1</v>
      </c>
      <c r="E41" s="405">
        <v>0</v>
      </c>
      <c r="F41" s="405">
        <f t="shared" si="11"/>
        <v>1</v>
      </c>
      <c r="G41" s="405">
        <v>1</v>
      </c>
      <c r="H41" s="405">
        <v>6.65</v>
      </c>
      <c r="I41" s="405">
        <f t="shared" si="12"/>
        <v>6.65</v>
      </c>
      <c r="J41" s="405" t="s">
        <v>27</v>
      </c>
      <c r="K41" s="406"/>
      <c r="O41" t="s">
        <v>16</v>
      </c>
      <c r="S41" t="s">
        <v>16</v>
      </c>
    </row>
    <row r="42" spans="1:19" ht="14.25" customHeight="1" x14ac:dyDescent="0.25">
      <c r="A42" s="402"/>
      <c r="B42" s="417" t="s">
        <v>77</v>
      </c>
      <c r="C42" s="404" t="s">
        <v>15</v>
      </c>
      <c r="D42" s="405">
        <v>1</v>
      </c>
      <c r="E42" s="405">
        <v>0</v>
      </c>
      <c r="F42" s="405">
        <f t="shared" si="11"/>
        <v>1</v>
      </c>
      <c r="G42" s="405">
        <v>1</v>
      </c>
      <c r="H42" s="405">
        <v>6.65</v>
      </c>
      <c r="I42" s="405">
        <f t="shared" si="12"/>
        <v>6.65</v>
      </c>
      <c r="J42" s="405" t="s">
        <v>27</v>
      </c>
      <c r="K42" s="406"/>
      <c r="N42" t="s">
        <v>16</v>
      </c>
    </row>
    <row r="43" spans="1:19" ht="14.25" customHeight="1" x14ac:dyDescent="0.25">
      <c r="A43" s="402"/>
      <c r="B43" s="417" t="s">
        <v>87</v>
      </c>
      <c r="C43" s="404"/>
      <c r="D43" s="405">
        <v>12</v>
      </c>
      <c r="E43" s="405">
        <v>0</v>
      </c>
      <c r="F43" s="405">
        <f t="shared" si="11"/>
        <v>12</v>
      </c>
      <c r="G43" s="405">
        <v>12</v>
      </c>
      <c r="H43" s="405">
        <v>7.7</v>
      </c>
      <c r="I43" s="405">
        <f t="shared" si="12"/>
        <v>92.4</v>
      </c>
      <c r="J43" s="405" t="s">
        <v>28</v>
      </c>
      <c r="K43" s="406" t="s">
        <v>446</v>
      </c>
    </row>
    <row r="44" spans="1:19" ht="14.25" customHeight="1" x14ac:dyDescent="0.25">
      <c r="A44" s="402"/>
      <c r="B44" s="417" t="s">
        <v>60</v>
      </c>
      <c r="C44" s="404"/>
      <c r="D44" s="405"/>
      <c r="E44" s="405"/>
      <c r="F44" s="405"/>
      <c r="G44" s="405">
        <v>1</v>
      </c>
      <c r="H44" s="405">
        <f>30*0.8</f>
        <v>24</v>
      </c>
      <c r="I44" s="405">
        <f>G44*0.8</f>
        <v>0.8</v>
      </c>
      <c r="J44" s="405" t="s">
        <v>28</v>
      </c>
      <c r="K44" s="406" t="s">
        <v>447</v>
      </c>
    </row>
    <row r="45" spans="1:19" ht="24.75" x14ac:dyDescent="0.25">
      <c r="A45" s="402"/>
      <c r="B45" s="417" t="s">
        <v>37</v>
      </c>
      <c r="C45" s="404"/>
      <c r="D45" s="405"/>
      <c r="E45" s="405"/>
      <c r="F45" s="405"/>
      <c r="G45" s="405">
        <v>1</v>
      </c>
      <c r="H45" s="405">
        <v>25</v>
      </c>
      <c r="I45" s="405">
        <f t="shared" si="12"/>
        <v>25</v>
      </c>
      <c r="J45" s="405" t="s">
        <v>27</v>
      </c>
      <c r="K45" s="408" t="s">
        <v>444</v>
      </c>
    </row>
    <row r="46" spans="1:19" ht="15" x14ac:dyDescent="0.25">
      <c r="A46" s="410"/>
      <c r="B46" s="413" t="s">
        <v>33</v>
      </c>
      <c r="C46" s="414"/>
      <c r="D46" s="414">
        <f t="shared" ref="D46:I46" si="13">SUM(D39:D45)</f>
        <v>16</v>
      </c>
      <c r="E46" s="414">
        <f t="shared" si="13"/>
        <v>0</v>
      </c>
      <c r="F46" s="414">
        <f t="shared" si="13"/>
        <v>16</v>
      </c>
      <c r="G46" s="414">
        <f t="shared" si="13"/>
        <v>19</v>
      </c>
      <c r="H46" s="414">
        <f t="shared" si="13"/>
        <v>87.35</v>
      </c>
      <c r="I46" s="414">
        <f t="shared" si="13"/>
        <v>155.5</v>
      </c>
      <c r="J46" s="414"/>
      <c r="K46" s="415"/>
    </row>
    <row r="47" spans="1:19" ht="15" x14ac:dyDescent="0.25">
      <c r="A47" s="402" t="s">
        <v>81</v>
      </c>
      <c r="B47" s="417" t="s">
        <v>82</v>
      </c>
      <c r="C47" s="404" t="s">
        <v>12</v>
      </c>
      <c r="D47" s="405">
        <v>1</v>
      </c>
      <c r="E47" s="405">
        <v>0</v>
      </c>
      <c r="F47" s="405">
        <f t="shared" ref="F47:F48" si="14">E47+D47</f>
        <v>1</v>
      </c>
      <c r="G47" s="405">
        <v>1</v>
      </c>
      <c r="H47" s="405">
        <v>10.7</v>
      </c>
      <c r="I47" s="405">
        <v>10.7</v>
      </c>
      <c r="J47" s="405" t="s">
        <v>27</v>
      </c>
      <c r="K47" s="406" t="s">
        <v>448</v>
      </c>
    </row>
    <row r="48" spans="1:19" ht="15" x14ac:dyDescent="0.25">
      <c r="A48" s="402"/>
      <c r="B48" s="417" t="s">
        <v>90</v>
      </c>
      <c r="C48" s="404" t="s">
        <v>274</v>
      </c>
      <c r="D48" s="405">
        <v>2</v>
      </c>
      <c r="E48" s="405">
        <v>0</v>
      </c>
      <c r="F48" s="405">
        <f t="shared" si="14"/>
        <v>2</v>
      </c>
      <c r="G48" s="405">
        <v>2</v>
      </c>
      <c r="H48" s="405">
        <v>6.65</v>
      </c>
      <c r="I48" s="405">
        <f t="shared" ref="I48" si="15">G48*H48</f>
        <v>13.3</v>
      </c>
      <c r="J48" s="405" t="s">
        <v>27</v>
      </c>
      <c r="K48" s="406" t="s">
        <v>436</v>
      </c>
    </row>
    <row r="49" spans="1:18" ht="15" x14ac:dyDescent="0.25">
      <c r="A49" s="410"/>
      <c r="B49" s="414" t="s">
        <v>33</v>
      </c>
      <c r="C49" s="414"/>
      <c r="D49" s="414">
        <f>SUM(D47:D48)</f>
        <v>3</v>
      </c>
      <c r="E49" s="414">
        <f t="shared" ref="E49:H49" si="16">SUM(E48:E48)</f>
        <v>0</v>
      </c>
      <c r="F49" s="414">
        <f t="shared" si="16"/>
        <v>2</v>
      </c>
      <c r="G49" s="414">
        <f t="shared" si="16"/>
        <v>2</v>
      </c>
      <c r="H49" s="414">
        <f t="shared" si="16"/>
        <v>6.65</v>
      </c>
      <c r="I49" s="418">
        <f>SUM(I47:I48)</f>
        <v>24</v>
      </c>
      <c r="J49" s="414"/>
      <c r="K49" s="415"/>
    </row>
    <row r="50" spans="1:18" ht="15" x14ac:dyDescent="0.25">
      <c r="A50" s="402" t="s">
        <v>88</v>
      </c>
      <c r="B50" s="417" t="s">
        <v>89</v>
      </c>
      <c r="C50" s="404" t="s">
        <v>12</v>
      </c>
      <c r="D50" s="405">
        <v>8</v>
      </c>
      <c r="E50" s="405">
        <v>0</v>
      </c>
      <c r="F50" s="405">
        <f t="shared" ref="F50:F58" si="17">E50+D50</f>
        <v>8</v>
      </c>
      <c r="G50" s="405">
        <v>8</v>
      </c>
      <c r="H50" s="405">
        <v>6.65</v>
      </c>
      <c r="I50" s="405">
        <f t="shared" ref="I50:I52" si="18">G50*H50</f>
        <v>53.2</v>
      </c>
      <c r="J50" s="405" t="s">
        <v>27</v>
      </c>
      <c r="K50" s="406" t="s">
        <v>448</v>
      </c>
    </row>
    <row r="51" spans="1:18" ht="15" x14ac:dyDescent="0.25">
      <c r="A51" s="402"/>
      <c r="B51" s="417" t="s">
        <v>90</v>
      </c>
      <c r="C51" s="404" t="s">
        <v>274</v>
      </c>
      <c r="D51" s="405">
        <v>24</v>
      </c>
      <c r="E51" s="405">
        <v>0</v>
      </c>
      <c r="F51" s="405">
        <f t="shared" si="17"/>
        <v>24</v>
      </c>
      <c r="G51" s="405">
        <v>24</v>
      </c>
      <c r="H51" s="405">
        <v>6.65</v>
      </c>
      <c r="I51" s="405">
        <f t="shared" si="18"/>
        <v>159.60000000000002</v>
      </c>
      <c r="J51" s="405" t="s">
        <v>27</v>
      </c>
      <c r="K51" s="406" t="s">
        <v>436</v>
      </c>
    </row>
    <row r="52" spans="1:18" ht="24.75" x14ac:dyDescent="0.25">
      <c r="A52" s="402"/>
      <c r="B52" s="417" t="s">
        <v>449</v>
      </c>
      <c r="C52" s="404"/>
      <c r="D52" s="405">
        <v>8</v>
      </c>
      <c r="E52" s="405">
        <v>0</v>
      </c>
      <c r="F52" s="405">
        <f t="shared" si="17"/>
        <v>8</v>
      </c>
      <c r="G52" s="405">
        <v>8</v>
      </c>
      <c r="H52" s="405">
        <v>4.43</v>
      </c>
      <c r="I52" s="405">
        <f t="shared" si="18"/>
        <v>35.44</v>
      </c>
      <c r="J52" s="405" t="s">
        <v>27</v>
      </c>
      <c r="K52" s="408" t="s">
        <v>450</v>
      </c>
    </row>
    <row r="53" spans="1:18" ht="17.25" customHeight="1" x14ac:dyDescent="0.25">
      <c r="A53" s="410"/>
      <c r="B53" s="413" t="s">
        <v>33</v>
      </c>
      <c r="C53" s="413"/>
      <c r="D53" s="414">
        <f>SUM(D50:D52)</f>
        <v>40</v>
      </c>
      <c r="E53" s="414">
        <f>SUM(E50:E51)</f>
        <v>0</v>
      </c>
      <c r="F53" s="414">
        <f>SUM(F50:F52)</f>
        <v>40</v>
      </c>
      <c r="G53" s="414">
        <f>SUM(G50:G52)</f>
        <v>40</v>
      </c>
      <c r="H53" s="414">
        <f>SUM(H50:H52)</f>
        <v>17.73</v>
      </c>
      <c r="I53" s="418">
        <f>SUM(I50:I52)</f>
        <v>248.24</v>
      </c>
      <c r="J53" s="413"/>
      <c r="K53" s="415"/>
      <c r="O53" t="s">
        <v>16</v>
      </c>
    </row>
    <row r="54" spans="1:18" ht="30" customHeight="1" x14ac:dyDescent="0.25">
      <c r="A54" s="402" t="s">
        <v>451</v>
      </c>
      <c r="B54" s="417" t="s">
        <v>91</v>
      </c>
      <c r="C54" s="404" t="s">
        <v>12</v>
      </c>
      <c r="D54" s="405">
        <v>1</v>
      </c>
      <c r="E54" s="405">
        <v>0</v>
      </c>
      <c r="F54" s="405">
        <f t="shared" si="17"/>
        <v>1</v>
      </c>
      <c r="G54" s="405">
        <v>1</v>
      </c>
      <c r="H54" s="405">
        <v>10.7</v>
      </c>
      <c r="I54" s="405">
        <v>10.7</v>
      </c>
      <c r="J54" s="405" t="s">
        <v>27</v>
      </c>
      <c r="K54" s="406" t="s">
        <v>452</v>
      </c>
    </row>
    <row r="55" spans="1:18" ht="15" x14ac:dyDescent="0.25">
      <c r="A55" s="402"/>
      <c r="B55" s="417" t="s">
        <v>92</v>
      </c>
      <c r="C55" s="404" t="s">
        <v>15</v>
      </c>
      <c r="D55" s="405">
        <v>1</v>
      </c>
      <c r="E55" s="405">
        <v>0</v>
      </c>
      <c r="F55" s="405">
        <f t="shared" si="17"/>
        <v>1</v>
      </c>
      <c r="G55" s="405">
        <v>1</v>
      </c>
      <c r="H55" s="405">
        <v>10.7</v>
      </c>
      <c r="I55" s="405">
        <f t="shared" ref="I55:I60" si="19">G55*H55</f>
        <v>10.7</v>
      </c>
      <c r="J55" s="405" t="s">
        <v>28</v>
      </c>
      <c r="K55" s="406" t="s">
        <v>16</v>
      </c>
    </row>
    <row r="56" spans="1:18" ht="15" x14ac:dyDescent="0.25">
      <c r="A56" s="402" t="s">
        <v>16</v>
      </c>
      <c r="B56" s="417" t="s">
        <v>77</v>
      </c>
      <c r="C56" s="404" t="s">
        <v>15</v>
      </c>
      <c r="D56" s="405">
        <v>2</v>
      </c>
      <c r="E56" s="405">
        <v>0</v>
      </c>
      <c r="F56" s="405">
        <f t="shared" si="17"/>
        <v>2</v>
      </c>
      <c r="G56" s="405">
        <v>2</v>
      </c>
      <c r="H56" s="405">
        <v>6.65</v>
      </c>
      <c r="I56" s="405">
        <f t="shared" si="19"/>
        <v>13.3</v>
      </c>
      <c r="J56" s="405" t="s">
        <v>28</v>
      </c>
      <c r="K56" s="406" t="s">
        <v>436</v>
      </c>
    </row>
    <row r="57" spans="1:18" ht="15" x14ac:dyDescent="0.25">
      <c r="A57" s="402"/>
      <c r="B57" s="419" t="s">
        <v>72</v>
      </c>
      <c r="C57" s="404" t="s">
        <v>13</v>
      </c>
      <c r="D57" s="405">
        <v>1</v>
      </c>
      <c r="E57" s="405">
        <v>0</v>
      </c>
      <c r="F57" s="405">
        <f t="shared" si="17"/>
        <v>1</v>
      </c>
      <c r="G57" s="405">
        <v>2</v>
      </c>
      <c r="H57" s="405">
        <v>6.65</v>
      </c>
      <c r="I57" s="405">
        <f t="shared" si="19"/>
        <v>13.3</v>
      </c>
      <c r="J57" s="405" t="s">
        <v>27</v>
      </c>
      <c r="K57" s="406" t="s">
        <v>436</v>
      </c>
      <c r="O57" t="s">
        <v>16</v>
      </c>
    </row>
    <row r="58" spans="1:18" ht="15" x14ac:dyDescent="0.25">
      <c r="A58" s="402"/>
      <c r="B58" s="417" t="s">
        <v>93</v>
      </c>
      <c r="C58" s="404"/>
      <c r="D58" s="405">
        <v>9</v>
      </c>
      <c r="E58" s="405">
        <v>0</v>
      </c>
      <c r="F58" s="405">
        <f t="shared" si="17"/>
        <v>9</v>
      </c>
      <c r="G58" s="405">
        <v>9</v>
      </c>
      <c r="H58" s="405">
        <v>6.65</v>
      </c>
      <c r="I58" s="405">
        <f t="shared" si="19"/>
        <v>59.85</v>
      </c>
      <c r="J58" s="405" t="s">
        <v>28</v>
      </c>
      <c r="K58" s="406" t="s">
        <v>446</v>
      </c>
    </row>
    <row r="59" spans="1:18" ht="15" x14ac:dyDescent="0.25">
      <c r="A59" s="402"/>
      <c r="B59" s="417" t="s">
        <v>60</v>
      </c>
      <c r="C59" s="404"/>
      <c r="D59" s="405" t="s">
        <v>16</v>
      </c>
      <c r="E59" s="405"/>
      <c r="F59" s="405"/>
      <c r="G59" s="405">
        <v>1</v>
      </c>
      <c r="H59" s="405">
        <f>23*0.8</f>
        <v>18.400000000000002</v>
      </c>
      <c r="I59" s="405">
        <f t="shared" si="19"/>
        <v>18.400000000000002</v>
      </c>
      <c r="J59" s="405" t="s">
        <v>28</v>
      </c>
      <c r="K59" s="406" t="s">
        <v>453</v>
      </c>
      <c r="O59" t="s">
        <v>16</v>
      </c>
      <c r="R59" t="s">
        <v>16</v>
      </c>
    </row>
    <row r="60" spans="1:18" ht="18.75" customHeight="1" x14ac:dyDescent="0.25">
      <c r="A60" s="402"/>
      <c r="B60" s="417" t="s">
        <v>94</v>
      </c>
      <c r="C60" s="404"/>
      <c r="D60" s="405"/>
      <c r="E60" s="405"/>
      <c r="F60" s="405"/>
      <c r="G60" s="405">
        <v>1</v>
      </c>
      <c r="H60" s="405">
        <v>25</v>
      </c>
      <c r="I60" s="405">
        <f t="shared" si="19"/>
        <v>25</v>
      </c>
      <c r="J60" s="405" t="s">
        <v>27</v>
      </c>
      <c r="K60" s="406"/>
      <c r="M60" t="s">
        <v>16</v>
      </c>
    </row>
    <row r="61" spans="1:18" ht="15" x14ac:dyDescent="0.25">
      <c r="A61" s="410"/>
      <c r="B61" s="413" t="s">
        <v>33</v>
      </c>
      <c r="C61" s="414"/>
      <c r="D61" s="414">
        <f t="shared" ref="D61:I61" si="20">SUM(D54:D60)</f>
        <v>14</v>
      </c>
      <c r="E61" s="414">
        <f t="shared" si="20"/>
        <v>0</v>
      </c>
      <c r="F61" s="414">
        <f t="shared" si="20"/>
        <v>14</v>
      </c>
      <c r="G61" s="414">
        <f t="shared" si="20"/>
        <v>17</v>
      </c>
      <c r="H61" s="414">
        <f t="shared" si="20"/>
        <v>84.75</v>
      </c>
      <c r="I61" s="414">
        <f t="shared" si="20"/>
        <v>151.25</v>
      </c>
      <c r="J61" s="414"/>
      <c r="K61" s="415"/>
    </row>
    <row r="62" spans="1:18" ht="15" x14ac:dyDescent="0.25">
      <c r="A62" s="402" t="s">
        <v>454</v>
      </c>
      <c r="B62" s="420" t="s">
        <v>455</v>
      </c>
      <c r="C62" s="421" t="s">
        <v>12</v>
      </c>
      <c r="D62" s="405">
        <v>1</v>
      </c>
      <c r="E62" s="405">
        <v>0</v>
      </c>
      <c r="F62" s="405">
        <f t="shared" ref="F62:F64" si="21">E62+D62</f>
        <v>1</v>
      </c>
      <c r="G62" s="405">
        <v>1</v>
      </c>
      <c r="H62" s="405">
        <v>10.7</v>
      </c>
      <c r="I62" s="405">
        <v>10.7</v>
      </c>
      <c r="J62" s="405" t="s">
        <v>27</v>
      </c>
      <c r="K62" s="406" t="s">
        <v>452</v>
      </c>
    </row>
    <row r="63" spans="1:18" ht="15" x14ac:dyDescent="0.25">
      <c r="A63" s="402"/>
      <c r="B63" s="417" t="s">
        <v>95</v>
      </c>
      <c r="C63" s="422" t="s">
        <v>15</v>
      </c>
      <c r="D63" s="405">
        <v>0</v>
      </c>
      <c r="E63" s="405">
        <v>0</v>
      </c>
      <c r="F63" s="405">
        <f t="shared" si="21"/>
        <v>0</v>
      </c>
      <c r="G63" s="405">
        <v>0</v>
      </c>
      <c r="H63" s="405">
        <v>10.7</v>
      </c>
      <c r="I63" s="405">
        <f t="shared" ref="I63:I64" si="22">G63*H63</f>
        <v>0</v>
      </c>
      <c r="J63" s="405" t="s">
        <v>27</v>
      </c>
      <c r="K63" s="406"/>
    </row>
    <row r="64" spans="1:18" ht="15" x14ac:dyDescent="0.25">
      <c r="A64" s="410" t="s">
        <v>16</v>
      </c>
      <c r="B64" s="417" t="s">
        <v>96</v>
      </c>
      <c r="C64" s="422" t="s">
        <v>13</v>
      </c>
      <c r="D64" s="405">
        <v>0</v>
      </c>
      <c r="E64" s="405">
        <v>0</v>
      </c>
      <c r="F64" s="405">
        <f t="shared" si="21"/>
        <v>0</v>
      </c>
      <c r="G64" s="405">
        <v>0</v>
      </c>
      <c r="H64" s="405">
        <v>6.35</v>
      </c>
      <c r="I64" s="405">
        <f t="shared" si="22"/>
        <v>0</v>
      </c>
      <c r="J64" s="405" t="s">
        <v>27</v>
      </c>
      <c r="K64" s="406" t="s">
        <v>436</v>
      </c>
      <c r="N64" t="s">
        <v>16</v>
      </c>
    </row>
    <row r="65" spans="1:18" ht="15" x14ac:dyDescent="0.25">
      <c r="A65" s="402" t="s">
        <v>16</v>
      </c>
      <c r="B65" s="413" t="s">
        <v>33</v>
      </c>
      <c r="C65" s="414"/>
      <c r="D65" s="414">
        <f>SUM(D62:D64)</f>
        <v>1</v>
      </c>
      <c r="E65" s="414">
        <f t="shared" ref="E65:I65" si="23">SUM(E62:E64)</f>
        <v>0</v>
      </c>
      <c r="F65" s="414">
        <f t="shared" si="23"/>
        <v>1</v>
      </c>
      <c r="G65" s="414">
        <f t="shared" si="23"/>
        <v>1</v>
      </c>
      <c r="H65" s="414">
        <f t="shared" si="23"/>
        <v>27.75</v>
      </c>
      <c r="I65" s="414">
        <f t="shared" si="23"/>
        <v>10.7</v>
      </c>
      <c r="J65" s="414"/>
      <c r="K65" s="415"/>
      <c r="N65" t="s">
        <v>16</v>
      </c>
    </row>
    <row r="66" spans="1:18" ht="15" x14ac:dyDescent="0.25">
      <c r="A66" s="402" t="s">
        <v>97</v>
      </c>
      <c r="B66" s="419" t="s">
        <v>35</v>
      </c>
      <c r="C66" s="423" t="s">
        <v>12</v>
      </c>
      <c r="D66" s="405">
        <v>1</v>
      </c>
      <c r="E66" s="405">
        <v>0</v>
      </c>
      <c r="F66" s="405">
        <f t="shared" ref="F66:F68" si="24">E66+D66</f>
        <v>1</v>
      </c>
      <c r="G66" s="405">
        <v>1</v>
      </c>
      <c r="H66" s="405">
        <v>10.7</v>
      </c>
      <c r="I66" s="405">
        <v>10.7</v>
      </c>
      <c r="J66" s="405" t="s">
        <v>27</v>
      </c>
      <c r="K66" s="406" t="s">
        <v>452</v>
      </c>
    </row>
    <row r="67" spans="1:18" ht="15" x14ac:dyDescent="0.25">
      <c r="A67" s="402"/>
      <c r="B67" s="419" t="s">
        <v>98</v>
      </c>
      <c r="C67" s="423" t="s">
        <v>15</v>
      </c>
      <c r="D67" s="405">
        <v>1</v>
      </c>
      <c r="E67" s="405">
        <v>0</v>
      </c>
      <c r="F67" s="405">
        <f t="shared" si="24"/>
        <v>1</v>
      </c>
      <c r="G67" s="405">
        <v>1</v>
      </c>
      <c r="H67" s="405">
        <v>9.9</v>
      </c>
      <c r="I67" s="405">
        <f t="shared" ref="I67:I83" si="25">G67*H67</f>
        <v>9.9</v>
      </c>
      <c r="J67" s="405" t="s">
        <v>27</v>
      </c>
      <c r="K67" s="406"/>
      <c r="P67" t="s">
        <v>16</v>
      </c>
      <c r="R67" t="s">
        <v>16</v>
      </c>
    </row>
    <row r="68" spans="1:18" ht="15" x14ac:dyDescent="0.25">
      <c r="A68" s="410"/>
      <c r="B68" s="419" t="s">
        <v>99</v>
      </c>
      <c r="C68" s="404" t="s">
        <v>13</v>
      </c>
      <c r="D68" s="405">
        <v>2</v>
      </c>
      <c r="E68" s="405">
        <v>0</v>
      </c>
      <c r="F68" s="405">
        <f t="shared" si="24"/>
        <v>2</v>
      </c>
      <c r="G68" s="405">
        <v>2</v>
      </c>
      <c r="H68" s="405">
        <v>6.35</v>
      </c>
      <c r="I68" s="405">
        <f t="shared" si="25"/>
        <v>12.7</v>
      </c>
      <c r="J68" s="405" t="s">
        <v>27</v>
      </c>
      <c r="K68" s="406" t="s">
        <v>436</v>
      </c>
    </row>
    <row r="69" spans="1:18" ht="14.25" customHeight="1" x14ac:dyDescent="0.25">
      <c r="A69" s="402" t="s">
        <v>64</v>
      </c>
      <c r="B69" s="413" t="s">
        <v>33</v>
      </c>
      <c r="C69" s="414"/>
      <c r="D69" s="414">
        <f>SUM(D66:D68)</f>
        <v>4</v>
      </c>
      <c r="E69" s="414">
        <f t="shared" ref="E69:I69" si="26">SUM(E66:E68)</f>
        <v>0</v>
      </c>
      <c r="F69" s="414">
        <f t="shared" si="26"/>
        <v>4</v>
      </c>
      <c r="G69" s="414">
        <f t="shared" si="26"/>
        <v>4</v>
      </c>
      <c r="H69" s="414">
        <f t="shared" si="26"/>
        <v>26.950000000000003</v>
      </c>
      <c r="I69" s="414">
        <f t="shared" si="26"/>
        <v>33.299999999999997</v>
      </c>
      <c r="J69" s="414"/>
      <c r="K69" s="415"/>
    </row>
    <row r="70" spans="1:18" ht="23.25" customHeight="1" x14ac:dyDescent="0.25">
      <c r="A70" s="402"/>
      <c r="B70" s="417" t="s">
        <v>456</v>
      </c>
      <c r="C70" s="404" t="s">
        <v>15</v>
      </c>
      <c r="D70" s="405">
        <v>1</v>
      </c>
      <c r="E70" s="405">
        <v>0</v>
      </c>
      <c r="F70" s="405">
        <f t="shared" ref="F70" si="27">E70+D70</f>
        <v>1</v>
      </c>
      <c r="G70" s="405">
        <v>1</v>
      </c>
      <c r="H70" s="405">
        <v>10.7</v>
      </c>
      <c r="I70" s="405">
        <f t="shared" si="25"/>
        <v>10.7</v>
      </c>
      <c r="J70" s="405" t="s">
        <v>27</v>
      </c>
      <c r="K70" s="417" t="s">
        <v>457</v>
      </c>
    </row>
    <row r="71" spans="1:18" ht="24" x14ac:dyDescent="0.25">
      <c r="A71" s="402"/>
      <c r="B71" s="420" t="s">
        <v>45</v>
      </c>
      <c r="C71" s="424"/>
      <c r="D71" s="405" t="s">
        <v>16</v>
      </c>
      <c r="E71" s="405"/>
      <c r="F71" s="405"/>
      <c r="G71" s="405">
        <v>1</v>
      </c>
      <c r="H71" s="405">
        <v>5</v>
      </c>
      <c r="I71" s="405">
        <f t="shared" si="25"/>
        <v>5</v>
      </c>
      <c r="J71" s="405" t="s">
        <v>28</v>
      </c>
      <c r="K71" s="425" t="s">
        <v>458</v>
      </c>
    </row>
    <row r="72" spans="1:18" ht="24" x14ac:dyDescent="0.25">
      <c r="A72" s="402"/>
      <c r="B72" s="426" t="s">
        <v>459</v>
      </c>
      <c r="C72" s="424"/>
      <c r="D72" s="405">
        <v>2</v>
      </c>
      <c r="E72" s="405">
        <v>0</v>
      </c>
      <c r="F72" s="405">
        <f t="shared" ref="F72" si="28">E72+D72</f>
        <v>2</v>
      </c>
      <c r="G72" s="405">
        <v>1</v>
      </c>
      <c r="H72" s="405">
        <v>20</v>
      </c>
      <c r="I72" s="405">
        <f t="shared" si="25"/>
        <v>20</v>
      </c>
      <c r="J72" s="405" t="s">
        <v>28</v>
      </c>
      <c r="K72" s="425" t="s">
        <v>460</v>
      </c>
    </row>
    <row r="73" spans="1:18" ht="15" x14ac:dyDescent="0.25">
      <c r="A73" s="402"/>
      <c r="B73" s="427" t="s">
        <v>461</v>
      </c>
      <c r="C73" s="424"/>
      <c r="D73" s="405"/>
      <c r="E73" s="405"/>
      <c r="F73" s="405"/>
      <c r="G73" s="405">
        <v>1</v>
      </c>
      <c r="H73" s="405">
        <v>12</v>
      </c>
      <c r="I73" s="405">
        <f t="shared" si="25"/>
        <v>12</v>
      </c>
      <c r="J73" s="405" t="s">
        <v>27</v>
      </c>
      <c r="K73" s="406" t="s">
        <v>462</v>
      </c>
      <c r="O73" t="s">
        <v>16</v>
      </c>
    </row>
    <row r="74" spans="1:18" ht="15" x14ac:dyDescent="0.25">
      <c r="A74" s="402"/>
      <c r="B74" s="426" t="s">
        <v>101</v>
      </c>
      <c r="C74" s="424"/>
      <c r="D74" s="405"/>
      <c r="E74" s="405"/>
      <c r="F74" s="405"/>
      <c r="G74" s="405">
        <v>4</v>
      </c>
      <c r="H74" s="405">
        <v>12</v>
      </c>
      <c r="I74" s="405">
        <f t="shared" si="25"/>
        <v>48</v>
      </c>
      <c r="J74" s="405" t="s">
        <v>27</v>
      </c>
      <c r="K74" s="406" t="s">
        <v>463</v>
      </c>
    </row>
    <row r="75" spans="1:18" ht="15" x14ac:dyDescent="0.25">
      <c r="A75" s="402"/>
      <c r="B75" s="427" t="s">
        <v>65</v>
      </c>
      <c r="C75" s="424"/>
      <c r="D75" s="405"/>
      <c r="E75" s="405"/>
      <c r="F75" s="405"/>
      <c r="G75" s="405">
        <v>4</v>
      </c>
      <c r="H75" s="405">
        <v>13.8</v>
      </c>
      <c r="I75" s="405">
        <f t="shared" si="25"/>
        <v>55.2</v>
      </c>
      <c r="J75" s="405" t="s">
        <v>27</v>
      </c>
      <c r="K75" s="406" t="s">
        <v>16</v>
      </c>
    </row>
    <row r="76" spans="1:18" ht="15" x14ac:dyDescent="0.25">
      <c r="A76" s="402"/>
      <c r="B76" s="427" t="s">
        <v>102</v>
      </c>
      <c r="C76" s="424"/>
      <c r="D76" s="405"/>
      <c r="E76" s="405"/>
      <c r="F76" s="405"/>
      <c r="G76" s="405">
        <v>4</v>
      </c>
      <c r="H76" s="405">
        <v>5</v>
      </c>
      <c r="I76" s="405">
        <f t="shared" si="25"/>
        <v>20</v>
      </c>
      <c r="J76" s="405" t="s">
        <v>27</v>
      </c>
      <c r="K76" s="406" t="s">
        <v>16</v>
      </c>
    </row>
    <row r="77" spans="1:18" ht="15" x14ac:dyDescent="0.25">
      <c r="A77" s="402"/>
      <c r="B77" s="427" t="s">
        <v>103</v>
      </c>
      <c r="C77" s="424"/>
      <c r="D77" s="405"/>
      <c r="E77" s="405"/>
      <c r="F77" s="405"/>
      <c r="G77" s="405">
        <v>1</v>
      </c>
      <c r="H77" s="405">
        <v>10</v>
      </c>
      <c r="I77" s="405">
        <f t="shared" si="25"/>
        <v>10</v>
      </c>
      <c r="J77" s="405" t="s">
        <v>27</v>
      </c>
      <c r="K77" s="406" t="s">
        <v>464</v>
      </c>
    </row>
    <row r="78" spans="1:18" ht="15" x14ac:dyDescent="0.25">
      <c r="A78" s="402"/>
      <c r="B78" s="427" t="s">
        <v>104</v>
      </c>
      <c r="C78" s="424"/>
      <c r="D78" s="405"/>
      <c r="E78" s="405"/>
      <c r="F78" s="405"/>
      <c r="G78" s="405">
        <v>1</v>
      </c>
      <c r="H78" s="405">
        <v>10</v>
      </c>
      <c r="I78" s="405">
        <f t="shared" si="25"/>
        <v>10</v>
      </c>
      <c r="J78" s="405" t="s">
        <v>27</v>
      </c>
      <c r="K78" s="406" t="s">
        <v>16</v>
      </c>
    </row>
    <row r="79" spans="1:18" ht="15" x14ac:dyDescent="0.25">
      <c r="A79" s="402"/>
      <c r="B79" s="417" t="s">
        <v>105</v>
      </c>
      <c r="C79" s="424"/>
      <c r="D79" s="405"/>
      <c r="E79" s="405"/>
      <c r="F79" s="405"/>
      <c r="G79" s="405">
        <f>D50/2</f>
        <v>4</v>
      </c>
      <c r="H79" s="405">
        <v>5</v>
      </c>
      <c r="I79" s="405">
        <f t="shared" si="25"/>
        <v>20</v>
      </c>
      <c r="J79" s="405" t="s">
        <v>27</v>
      </c>
      <c r="K79" s="406" t="s">
        <v>463</v>
      </c>
    </row>
    <row r="80" spans="1:18" ht="28.5" customHeight="1" x14ac:dyDescent="0.25">
      <c r="A80" s="402"/>
      <c r="B80" s="417" t="s">
        <v>18</v>
      </c>
      <c r="C80" s="424"/>
      <c r="D80" s="405"/>
      <c r="E80" s="405"/>
      <c r="F80" s="405"/>
      <c r="G80" s="405">
        <v>1</v>
      </c>
      <c r="H80" s="405">
        <v>10.7</v>
      </c>
      <c r="I80" s="405">
        <v>0</v>
      </c>
      <c r="J80" s="405" t="s">
        <v>27</v>
      </c>
      <c r="K80" s="417" t="s">
        <v>465</v>
      </c>
    </row>
    <row r="81" spans="1:18" ht="38.25" x14ac:dyDescent="0.25">
      <c r="A81" s="402"/>
      <c r="B81" s="417" t="s">
        <v>106</v>
      </c>
      <c r="C81" s="424"/>
      <c r="D81" s="405"/>
      <c r="E81" s="405"/>
      <c r="F81" s="405"/>
      <c r="G81" s="405">
        <v>1</v>
      </c>
      <c r="H81" s="405">
        <v>20</v>
      </c>
      <c r="I81" s="405">
        <v>0</v>
      </c>
      <c r="J81" s="405" t="s">
        <v>27</v>
      </c>
      <c r="K81" s="417" t="s">
        <v>466</v>
      </c>
    </row>
    <row r="82" spans="1:18" ht="15" x14ac:dyDescent="0.25">
      <c r="A82" s="402"/>
      <c r="B82" s="417" t="s">
        <v>107</v>
      </c>
      <c r="C82" s="424"/>
      <c r="D82" s="405"/>
      <c r="E82" s="405"/>
      <c r="F82" s="405"/>
      <c r="G82" s="405">
        <v>1</v>
      </c>
      <c r="H82" s="405"/>
      <c r="I82" s="405">
        <f t="shared" si="25"/>
        <v>0</v>
      </c>
      <c r="J82" s="405" t="s">
        <v>27</v>
      </c>
      <c r="K82" s="417" t="s">
        <v>457</v>
      </c>
      <c r="R82" t="s">
        <v>16</v>
      </c>
    </row>
    <row r="83" spans="1:18" ht="15" x14ac:dyDescent="0.25">
      <c r="A83" s="410"/>
      <c r="B83" s="427" t="s">
        <v>108</v>
      </c>
      <c r="C83" s="424"/>
      <c r="D83" s="405"/>
      <c r="E83" s="405"/>
      <c r="F83" s="405"/>
      <c r="G83" s="405">
        <v>1</v>
      </c>
      <c r="H83" s="405">
        <v>50</v>
      </c>
      <c r="I83" s="405">
        <f t="shared" si="25"/>
        <v>50</v>
      </c>
      <c r="J83" s="405" t="s">
        <v>27</v>
      </c>
      <c r="K83" s="417" t="s">
        <v>457</v>
      </c>
    </row>
    <row r="84" spans="1:18" ht="15" x14ac:dyDescent="0.25">
      <c r="A84" s="315"/>
      <c r="B84" s="413" t="s">
        <v>33</v>
      </c>
      <c r="C84" s="414"/>
      <c r="D84" s="418">
        <f t="shared" ref="D84:H84" si="29">SUM(D70:D83)</f>
        <v>3</v>
      </c>
      <c r="E84" s="418">
        <f t="shared" si="29"/>
        <v>0</v>
      </c>
      <c r="F84" s="418">
        <f t="shared" si="29"/>
        <v>3</v>
      </c>
      <c r="G84" s="418">
        <f t="shared" si="29"/>
        <v>26</v>
      </c>
      <c r="H84" s="418">
        <f t="shared" si="29"/>
        <v>184.2</v>
      </c>
      <c r="I84" s="418">
        <f>SUM(I70:I83)</f>
        <v>260.89999999999998</v>
      </c>
      <c r="J84" s="414"/>
      <c r="K84" s="415"/>
      <c r="M84" t="s">
        <v>16</v>
      </c>
    </row>
    <row r="85" spans="1:18" ht="15" x14ac:dyDescent="0.25">
      <c r="A85" s="315"/>
      <c r="B85" s="394"/>
      <c r="C85" s="317"/>
      <c r="D85" s="428"/>
      <c r="E85" s="428"/>
      <c r="F85" s="428"/>
      <c r="G85" s="428"/>
      <c r="H85" s="428"/>
      <c r="I85" s="428"/>
      <c r="J85" s="428"/>
      <c r="K85" s="398"/>
    </row>
    <row r="86" spans="1:18" ht="15.75" x14ac:dyDescent="0.25">
      <c r="A86" s="315"/>
      <c r="B86" s="429" t="s">
        <v>467</v>
      </c>
      <c r="C86" s="317"/>
      <c r="D86" s="430">
        <v>108</v>
      </c>
      <c r="E86" s="430">
        <f>E23+E30+E38+E46+E53+E61+E65+E69+E84</f>
        <v>0</v>
      </c>
      <c r="F86" s="430">
        <v>108</v>
      </c>
      <c r="G86" s="430">
        <f>G23+G30+G38+G46+G53+G61+G65+G69+G84</f>
        <v>134.65</v>
      </c>
      <c r="H86" s="431"/>
      <c r="I86" s="430">
        <f>I23+I30+I38+I46+I53+I61+I65+I69+I84</f>
        <v>1513.8449999999998</v>
      </c>
      <c r="J86" s="432"/>
      <c r="K86" s="398"/>
    </row>
    <row r="87" spans="1:18" ht="15" x14ac:dyDescent="0.25">
      <c r="A87" s="315"/>
      <c r="B87" s="394"/>
      <c r="C87" s="317"/>
      <c r="D87" s="431"/>
      <c r="E87" s="431"/>
      <c r="F87" s="433" t="s">
        <v>468</v>
      </c>
      <c r="G87" s="433"/>
      <c r="H87" s="434"/>
      <c r="I87" s="430">
        <v>1.7</v>
      </c>
      <c r="J87" s="435"/>
      <c r="K87" s="398"/>
      <c r="N87" t="s">
        <v>16</v>
      </c>
    </row>
    <row r="88" spans="1:18" ht="15" x14ac:dyDescent="0.25">
      <c r="A88" s="315"/>
      <c r="B88" s="394"/>
      <c r="C88" s="317"/>
      <c r="D88" s="431"/>
      <c r="E88" s="431"/>
      <c r="F88" s="433" t="s">
        <v>21</v>
      </c>
      <c r="G88" s="436"/>
      <c r="H88" s="434"/>
      <c r="I88" s="430">
        <f>I87*I86</f>
        <v>2573.5364999999997</v>
      </c>
      <c r="J88" s="435"/>
      <c r="K88" s="398"/>
    </row>
    <row r="89" spans="1:18" ht="15" x14ac:dyDescent="0.25">
      <c r="A89" s="315"/>
      <c r="B89" s="394"/>
      <c r="C89" s="317"/>
      <c r="D89" s="317"/>
      <c r="E89" s="317"/>
      <c r="F89" s="317"/>
      <c r="G89" s="317"/>
      <c r="H89" s="317"/>
      <c r="I89" s="317"/>
      <c r="J89" s="317"/>
      <c r="K89" s="398"/>
    </row>
    <row r="90" spans="1:18" ht="18.75" x14ac:dyDescent="0.3">
      <c r="A90" s="315"/>
      <c r="B90" s="437" t="s">
        <v>11</v>
      </c>
      <c r="C90" s="438"/>
      <c r="D90" s="438"/>
      <c r="E90" s="438"/>
      <c r="F90" s="438"/>
      <c r="G90" s="438"/>
      <c r="H90" s="439"/>
      <c r="I90" s="438"/>
      <c r="J90" s="440"/>
      <c r="K90" s="398"/>
    </row>
    <row r="91" spans="1:18" ht="15" x14ac:dyDescent="0.25">
      <c r="A91" s="315"/>
      <c r="B91" s="441"/>
      <c r="C91" s="438"/>
      <c r="D91" s="438"/>
      <c r="E91" s="438"/>
      <c r="F91" s="438"/>
      <c r="G91" s="438"/>
      <c r="H91" s="438"/>
      <c r="I91" s="438"/>
      <c r="J91" s="440"/>
      <c r="K91" s="398"/>
    </row>
    <row r="92" spans="1:18" ht="15" x14ac:dyDescent="0.25">
      <c r="A92" s="315"/>
      <c r="B92" s="441" t="s">
        <v>469</v>
      </c>
      <c r="C92" s="438"/>
      <c r="D92" s="438"/>
      <c r="E92" s="438"/>
      <c r="F92" s="438"/>
      <c r="G92" s="438"/>
      <c r="H92" s="438"/>
      <c r="I92" s="438"/>
      <c r="J92" s="440"/>
      <c r="K92" s="398"/>
    </row>
    <row r="93" spans="1:18" ht="15" x14ac:dyDescent="0.25">
      <c r="A93" s="315"/>
      <c r="B93" s="441" t="s">
        <v>470</v>
      </c>
      <c r="C93" s="438"/>
      <c r="D93" s="438"/>
      <c r="E93" s="438"/>
      <c r="F93" s="438"/>
      <c r="G93" s="438"/>
      <c r="H93" s="438"/>
      <c r="I93" s="438"/>
      <c r="J93" s="440"/>
      <c r="K93" s="398"/>
    </row>
    <row r="94" spans="1:18" ht="15" x14ac:dyDescent="0.25">
      <c r="A94" s="315"/>
      <c r="B94" s="441" t="s">
        <v>471</v>
      </c>
      <c r="C94" s="438"/>
      <c r="D94" s="438"/>
      <c r="E94" s="438"/>
      <c r="F94" s="438"/>
      <c r="G94" s="438"/>
      <c r="H94" s="438"/>
      <c r="I94" s="438"/>
      <c r="J94" s="440"/>
      <c r="K94" s="398"/>
    </row>
  </sheetData>
  <mergeCells count="3">
    <mergeCell ref="A3:K3"/>
    <mergeCell ref="A4:K4"/>
    <mergeCell ref="A6:K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0"/>
  <sheetViews>
    <sheetView rightToLeft="1" view="pageBreakPreview" topLeftCell="A45" zoomScale="115" zoomScaleNormal="115" zoomScaleSheetLayoutView="115" workbookViewId="0">
      <selection activeCell="E53" sqref="E53"/>
    </sheetView>
  </sheetViews>
  <sheetFormatPr defaultRowHeight="14.25" x14ac:dyDescent="0.2"/>
  <cols>
    <col min="1" max="1" width="11.125" customWidth="1"/>
    <col min="2" max="2" width="18.875" style="393" customWidth="1"/>
    <col min="3" max="3" width="4.5" style="311" customWidth="1"/>
    <col min="4" max="4" width="6.25" style="311" customWidth="1"/>
    <col min="5" max="5" width="6.125" style="311" customWidth="1"/>
    <col min="6" max="6" width="5.25" style="311" customWidth="1"/>
    <col min="7" max="7" width="5.875" style="311" customWidth="1"/>
    <col min="8" max="8" width="6.125" style="311" customWidth="1"/>
    <col min="9" max="9" width="6.625" style="311" customWidth="1"/>
    <col min="10" max="10" width="6" style="311" customWidth="1"/>
    <col min="11" max="11" width="23" style="393" customWidth="1"/>
  </cols>
  <sheetData>
    <row r="1" spans="1:15" ht="15" x14ac:dyDescent="0.25">
      <c r="B1" s="310"/>
      <c r="L1" s="315"/>
      <c r="M1" s="315"/>
    </row>
    <row r="2" spans="1:15" ht="15" x14ac:dyDescent="0.25">
      <c r="B2" s="310"/>
      <c r="L2" s="315"/>
      <c r="M2" s="315"/>
    </row>
    <row r="3" spans="1:15" ht="21" x14ac:dyDescent="0.25">
      <c r="A3" s="610" t="s">
        <v>388</v>
      </c>
      <c r="B3" s="610"/>
      <c r="C3" s="610"/>
      <c r="D3" s="610"/>
      <c r="E3" s="610"/>
      <c r="F3" s="610"/>
      <c r="G3" s="610"/>
      <c r="H3" s="610"/>
      <c r="I3" s="610"/>
      <c r="J3" s="610"/>
      <c r="K3" s="610"/>
      <c r="L3" s="315"/>
      <c r="M3" s="315"/>
    </row>
    <row r="4" spans="1:15" ht="18.75" x14ac:dyDescent="0.25">
      <c r="A4" s="611" t="s">
        <v>389</v>
      </c>
      <c r="B4" s="611"/>
      <c r="C4" s="611"/>
      <c r="D4" s="611"/>
      <c r="E4" s="611"/>
      <c r="F4" s="611"/>
      <c r="G4" s="611"/>
      <c r="H4" s="611"/>
      <c r="I4" s="611"/>
      <c r="J4" s="611"/>
      <c r="K4" s="611"/>
      <c r="L4" s="315"/>
      <c r="M4" s="315"/>
    </row>
    <row r="5" spans="1:15" ht="15.75" customHeight="1" x14ac:dyDescent="0.4">
      <c r="B5" s="312"/>
      <c r="C5"/>
      <c r="F5" s="313"/>
      <c r="K5" s="392" t="s">
        <v>472</v>
      </c>
      <c r="L5" s="315"/>
      <c r="M5" s="315"/>
    </row>
    <row r="6" spans="1:15" ht="33.75" customHeight="1" x14ac:dyDescent="0.25">
      <c r="A6" s="612" t="s">
        <v>473</v>
      </c>
      <c r="B6" s="612"/>
      <c r="C6" s="612"/>
      <c r="D6" s="612"/>
      <c r="E6" s="612"/>
      <c r="F6" s="612"/>
      <c r="G6" s="612"/>
      <c r="H6" s="612"/>
      <c r="I6" s="612"/>
      <c r="J6" s="612"/>
      <c r="K6" s="612"/>
      <c r="L6" s="315"/>
      <c r="M6" s="315"/>
    </row>
    <row r="7" spans="1:15" ht="19.5" customHeight="1" x14ac:dyDescent="0.25">
      <c r="A7" s="442"/>
      <c r="B7" s="442"/>
      <c r="C7" s="442"/>
      <c r="D7" s="442"/>
      <c r="E7" s="442"/>
      <c r="F7" s="442"/>
      <c r="G7" s="442"/>
      <c r="H7" s="442"/>
      <c r="I7" s="442"/>
      <c r="J7" s="442"/>
      <c r="K7" s="442"/>
      <c r="L7" s="315"/>
      <c r="M7" s="315"/>
    </row>
    <row r="8" spans="1:15" ht="18.75" customHeight="1" x14ac:dyDescent="0.4">
      <c r="A8" s="315"/>
      <c r="B8" s="398"/>
      <c r="C8" s="317"/>
      <c r="D8" s="317"/>
      <c r="E8" s="317"/>
      <c r="F8" s="443"/>
      <c r="G8" s="317"/>
      <c r="H8" s="317"/>
      <c r="I8" s="317"/>
      <c r="J8" s="317"/>
      <c r="K8" s="398"/>
      <c r="L8" s="315"/>
      <c r="M8" s="315"/>
    </row>
    <row r="9" spans="1:15" ht="21" customHeight="1" x14ac:dyDescent="0.3">
      <c r="A9" s="315"/>
      <c r="B9" s="398"/>
      <c r="C9" s="317"/>
      <c r="D9" s="395"/>
      <c r="E9" s="444" t="s">
        <v>408</v>
      </c>
      <c r="F9" s="397"/>
      <c r="G9" s="317"/>
      <c r="H9" s="317"/>
      <c r="I9" s="317"/>
      <c r="J9" s="317"/>
      <c r="K9" s="398" t="s">
        <v>474</v>
      </c>
      <c r="L9" s="315"/>
      <c r="M9" s="315"/>
    </row>
    <row r="10" spans="1:15" ht="58.5" customHeight="1" x14ac:dyDescent="0.3">
      <c r="A10" s="315"/>
      <c r="B10" s="445" t="s">
        <v>6</v>
      </c>
      <c r="C10" s="400" t="s">
        <v>410</v>
      </c>
      <c r="D10" s="400" t="s">
        <v>411</v>
      </c>
      <c r="E10" s="400" t="s">
        <v>121</v>
      </c>
      <c r="F10" s="400" t="s">
        <v>33</v>
      </c>
      <c r="G10" s="400" t="s">
        <v>412</v>
      </c>
      <c r="H10" s="400" t="s">
        <v>413</v>
      </c>
      <c r="I10" s="400" t="s">
        <v>236</v>
      </c>
      <c r="J10" s="400" t="s">
        <v>26</v>
      </c>
      <c r="K10" s="401" t="s">
        <v>11</v>
      </c>
      <c r="L10" s="315"/>
      <c r="M10" s="315"/>
      <c r="O10" t="s">
        <v>16</v>
      </c>
    </row>
    <row r="11" spans="1:15" ht="14.25" customHeight="1" x14ac:dyDescent="0.25">
      <c r="A11" s="402"/>
      <c r="B11" s="446" t="s">
        <v>475</v>
      </c>
      <c r="C11" s="404" t="s">
        <v>30</v>
      </c>
      <c r="D11" s="405">
        <v>1</v>
      </c>
      <c r="E11" s="405">
        <v>0</v>
      </c>
      <c r="F11" s="405">
        <f>E11+D11</f>
        <v>1</v>
      </c>
      <c r="G11" s="405">
        <v>1</v>
      </c>
      <c r="H11" s="405">
        <v>13.3</v>
      </c>
      <c r="I11" s="405">
        <f>G11*H11</f>
        <v>13.3</v>
      </c>
      <c r="J11" s="405" t="s">
        <v>27</v>
      </c>
      <c r="K11" s="447" t="s">
        <v>415</v>
      </c>
      <c r="L11" s="315"/>
      <c r="M11" s="315"/>
    </row>
    <row r="12" spans="1:15" ht="14.25" customHeight="1" x14ac:dyDescent="0.25">
      <c r="A12" s="402"/>
      <c r="B12" s="446" t="s">
        <v>95</v>
      </c>
      <c r="C12" s="404" t="s">
        <v>12</v>
      </c>
      <c r="D12" s="405">
        <v>1</v>
      </c>
      <c r="E12" s="405">
        <v>0</v>
      </c>
      <c r="F12" s="405">
        <f>E12+D12</f>
        <v>1</v>
      </c>
      <c r="G12" s="405">
        <v>1</v>
      </c>
      <c r="H12" s="405">
        <v>10.7</v>
      </c>
      <c r="I12" s="405">
        <f t="shared" ref="I12:I20" si="0">G12*H12</f>
        <v>10.7</v>
      </c>
      <c r="J12" s="405" t="s">
        <v>27</v>
      </c>
      <c r="K12" s="447" t="s">
        <v>417</v>
      </c>
      <c r="L12" s="315"/>
      <c r="M12" s="315" t="s">
        <v>16</v>
      </c>
    </row>
    <row r="13" spans="1:15" ht="14.25" customHeight="1" x14ac:dyDescent="0.25">
      <c r="A13" s="402"/>
      <c r="B13" s="446" t="s">
        <v>476</v>
      </c>
      <c r="C13" s="404" t="s">
        <v>12</v>
      </c>
      <c r="D13" s="405">
        <v>1</v>
      </c>
      <c r="E13" s="405">
        <v>0</v>
      </c>
      <c r="F13" s="405">
        <f>E13+D13</f>
        <v>1</v>
      </c>
      <c r="G13" s="405">
        <v>1</v>
      </c>
      <c r="H13" s="405">
        <v>10.7</v>
      </c>
      <c r="I13" s="405">
        <f t="shared" si="0"/>
        <v>10.7</v>
      </c>
      <c r="J13" s="405" t="s">
        <v>27</v>
      </c>
      <c r="K13" s="447"/>
      <c r="L13" s="315"/>
      <c r="M13" s="315"/>
    </row>
    <row r="14" spans="1:15" ht="14.25" customHeight="1" x14ac:dyDescent="0.25">
      <c r="A14" s="402"/>
      <c r="B14" s="446" t="s">
        <v>68</v>
      </c>
      <c r="C14" s="404" t="s">
        <v>15</v>
      </c>
      <c r="D14" s="405">
        <v>1</v>
      </c>
      <c r="E14" s="405">
        <v>0</v>
      </c>
      <c r="F14" s="405">
        <f>E14+D14</f>
        <v>1</v>
      </c>
      <c r="G14" s="405">
        <v>1</v>
      </c>
      <c r="H14" s="405">
        <v>10.7</v>
      </c>
      <c r="I14" s="405">
        <f t="shared" si="0"/>
        <v>10.7</v>
      </c>
      <c r="J14" s="405" t="s">
        <v>27</v>
      </c>
      <c r="K14" s="447" t="s">
        <v>418</v>
      </c>
      <c r="L14" s="315"/>
      <c r="M14" s="315" t="s">
        <v>16</v>
      </c>
    </row>
    <row r="15" spans="1:15" ht="14.25" customHeight="1" x14ac:dyDescent="0.25">
      <c r="A15" s="402"/>
      <c r="B15" s="446" t="s">
        <v>477</v>
      </c>
      <c r="C15" s="404" t="s">
        <v>15</v>
      </c>
      <c r="D15" s="405">
        <v>0</v>
      </c>
      <c r="E15" s="405">
        <v>0</v>
      </c>
      <c r="F15" s="405">
        <f>E15+D15</f>
        <v>0</v>
      </c>
      <c r="G15" s="405">
        <v>1</v>
      </c>
      <c r="H15" s="405">
        <v>10.7</v>
      </c>
      <c r="I15" s="405">
        <f t="shared" si="0"/>
        <v>10.7</v>
      </c>
      <c r="J15" s="405" t="s">
        <v>27</v>
      </c>
      <c r="K15" s="447" t="s">
        <v>478</v>
      </c>
      <c r="L15" s="315"/>
      <c r="M15" s="315"/>
    </row>
    <row r="16" spans="1:15" ht="24" x14ac:dyDescent="0.25">
      <c r="A16" s="407" t="s">
        <v>419</v>
      </c>
      <c r="B16" s="446" t="s">
        <v>420</v>
      </c>
      <c r="C16" s="404"/>
      <c r="D16" s="405" t="s">
        <v>16</v>
      </c>
      <c r="E16" s="405" t="s">
        <v>16</v>
      </c>
      <c r="F16" s="405" t="s">
        <v>16</v>
      </c>
      <c r="G16" s="405">
        <v>1</v>
      </c>
      <c r="H16" s="405">
        <v>30</v>
      </c>
      <c r="I16" s="405">
        <f t="shared" si="0"/>
        <v>30</v>
      </c>
      <c r="J16" s="405" t="s">
        <v>27</v>
      </c>
      <c r="K16" s="425" t="s">
        <v>479</v>
      </c>
      <c r="L16" s="315"/>
      <c r="M16" s="315"/>
      <c r="N16" t="s">
        <v>16</v>
      </c>
    </row>
    <row r="17" spans="1:15" ht="14.25" customHeight="1" x14ac:dyDescent="0.25">
      <c r="A17" s="402" t="s">
        <v>422</v>
      </c>
      <c r="B17" s="446" t="s">
        <v>138</v>
      </c>
      <c r="C17" s="404"/>
      <c r="D17" s="405" t="s">
        <v>16</v>
      </c>
      <c r="E17" s="405" t="s">
        <v>16</v>
      </c>
      <c r="F17" s="405" t="s">
        <v>16</v>
      </c>
      <c r="G17" s="405">
        <v>1</v>
      </c>
      <c r="H17" s="405">
        <v>4</v>
      </c>
      <c r="I17" s="405">
        <f t="shared" si="0"/>
        <v>4</v>
      </c>
      <c r="J17" s="405" t="s">
        <v>28</v>
      </c>
      <c r="K17" s="447" t="s">
        <v>439</v>
      </c>
      <c r="L17" s="315"/>
      <c r="M17" s="315"/>
      <c r="O17" t="s">
        <v>16</v>
      </c>
    </row>
    <row r="18" spans="1:15" ht="14.25" customHeight="1" x14ac:dyDescent="0.25">
      <c r="A18" s="402"/>
      <c r="B18" s="446" t="s">
        <v>424</v>
      </c>
      <c r="C18" s="404" t="s">
        <v>12</v>
      </c>
      <c r="D18" s="405">
        <v>1</v>
      </c>
      <c r="E18" s="405">
        <v>0</v>
      </c>
      <c r="F18" s="405">
        <f>E18+D18</f>
        <v>1</v>
      </c>
      <c r="G18" s="405">
        <v>1</v>
      </c>
      <c r="H18" s="405">
        <v>10.7</v>
      </c>
      <c r="I18" s="405">
        <f t="shared" si="0"/>
        <v>10.7</v>
      </c>
      <c r="J18" s="405" t="s">
        <v>27</v>
      </c>
      <c r="K18" s="447" t="s">
        <v>425</v>
      </c>
      <c r="L18" s="315"/>
      <c r="M18" s="315" t="s">
        <v>16</v>
      </c>
    </row>
    <row r="19" spans="1:15" ht="15.75" x14ac:dyDescent="0.25">
      <c r="A19" s="402"/>
      <c r="B19" s="446" t="s">
        <v>69</v>
      </c>
      <c r="C19" s="404" t="s">
        <v>16</v>
      </c>
      <c r="D19" s="405">
        <v>1</v>
      </c>
      <c r="E19" s="405">
        <v>0</v>
      </c>
      <c r="F19" s="405">
        <f>E19+D19</f>
        <v>1</v>
      </c>
      <c r="G19" s="405">
        <v>2</v>
      </c>
      <c r="H19" s="405">
        <v>6.65</v>
      </c>
      <c r="I19" s="405">
        <f t="shared" si="0"/>
        <v>13.3</v>
      </c>
      <c r="J19" s="405" t="s">
        <v>27</v>
      </c>
      <c r="K19" s="447" t="s">
        <v>480</v>
      </c>
      <c r="L19" s="315"/>
      <c r="M19" s="315"/>
    </row>
    <row r="20" spans="1:15" ht="14.25" customHeight="1" x14ac:dyDescent="0.25">
      <c r="A20" s="402"/>
      <c r="B20" s="446" t="s">
        <v>430</v>
      </c>
      <c r="C20" s="404"/>
      <c r="D20" s="405" t="s">
        <v>16</v>
      </c>
      <c r="E20" s="405" t="s">
        <v>16</v>
      </c>
      <c r="F20" s="405" t="s">
        <v>431</v>
      </c>
      <c r="G20" s="405">
        <v>1</v>
      </c>
      <c r="H20" s="405">
        <v>5</v>
      </c>
      <c r="I20" s="405">
        <f t="shared" si="0"/>
        <v>5</v>
      </c>
      <c r="J20" s="405" t="s">
        <v>28</v>
      </c>
      <c r="K20" s="447" t="s">
        <v>432</v>
      </c>
      <c r="L20" s="315"/>
      <c r="M20" s="315"/>
    </row>
    <row r="21" spans="1:15" ht="15.75" hidden="1" customHeight="1" x14ac:dyDescent="0.25">
      <c r="A21" s="410"/>
      <c r="B21" s="446"/>
      <c r="C21" s="404"/>
      <c r="D21" s="405"/>
      <c r="E21" s="405">
        <v>0</v>
      </c>
      <c r="F21" s="405"/>
      <c r="G21" s="405"/>
      <c r="H21" s="405"/>
      <c r="I21" s="405"/>
      <c r="J21" s="405"/>
      <c r="K21" s="447"/>
      <c r="L21" s="315"/>
      <c r="M21" s="315"/>
    </row>
    <row r="22" spans="1:15" ht="15.75" hidden="1" customHeight="1" x14ac:dyDescent="0.25">
      <c r="A22" s="410"/>
      <c r="B22" s="446"/>
      <c r="C22" s="404"/>
      <c r="D22" s="405"/>
      <c r="E22" s="405">
        <v>0</v>
      </c>
      <c r="F22" s="405"/>
      <c r="G22" s="405"/>
      <c r="H22" s="405"/>
      <c r="I22" s="405"/>
      <c r="J22" s="405"/>
      <c r="K22" s="447"/>
      <c r="L22" s="315"/>
      <c r="M22" s="315"/>
    </row>
    <row r="23" spans="1:15" ht="15.75" hidden="1" customHeight="1" x14ac:dyDescent="0.25">
      <c r="A23" s="411"/>
      <c r="B23" s="446"/>
      <c r="C23" s="404"/>
      <c r="D23" s="405"/>
      <c r="E23" s="405">
        <v>0</v>
      </c>
      <c r="F23" s="405"/>
      <c r="G23" s="405"/>
      <c r="H23" s="405"/>
      <c r="I23" s="405"/>
      <c r="J23" s="405"/>
      <c r="K23" s="447"/>
      <c r="L23" s="315"/>
      <c r="M23" s="315"/>
      <c r="N23" t="s">
        <v>16</v>
      </c>
    </row>
    <row r="24" spans="1:15" ht="15.75" x14ac:dyDescent="0.25">
      <c r="A24" s="412"/>
      <c r="B24" s="448" t="s">
        <v>33</v>
      </c>
      <c r="C24" s="449"/>
      <c r="D24" s="449">
        <f t="shared" ref="D24:I24" si="1">SUM(D11:D20)</f>
        <v>6</v>
      </c>
      <c r="E24" s="449">
        <f t="shared" si="1"/>
        <v>0</v>
      </c>
      <c r="F24" s="449">
        <f t="shared" si="1"/>
        <v>6</v>
      </c>
      <c r="G24" s="449">
        <f t="shared" si="1"/>
        <v>11</v>
      </c>
      <c r="H24" s="449">
        <f t="shared" si="1"/>
        <v>112.45000000000002</v>
      </c>
      <c r="I24" s="449">
        <f t="shared" si="1"/>
        <v>119.10000000000001</v>
      </c>
      <c r="J24" s="449"/>
      <c r="K24" s="449"/>
      <c r="L24" s="315"/>
      <c r="M24" s="315"/>
    </row>
    <row r="25" spans="1:15" ht="15.75" x14ac:dyDescent="0.25">
      <c r="A25" s="416" t="s">
        <v>74</v>
      </c>
      <c r="B25" s="446" t="s">
        <v>86</v>
      </c>
      <c r="C25" s="404" t="s">
        <v>15</v>
      </c>
      <c r="D25" s="405">
        <v>1</v>
      </c>
      <c r="E25" s="405">
        <v>0</v>
      </c>
      <c r="F25" s="405">
        <f>E25+D25</f>
        <v>1</v>
      </c>
      <c r="G25" s="405">
        <v>1</v>
      </c>
      <c r="H25" s="405">
        <v>10.7</v>
      </c>
      <c r="I25" s="405">
        <f t="shared" ref="I25" si="2">G25*H25</f>
        <v>10.7</v>
      </c>
      <c r="J25" s="405" t="s">
        <v>27</v>
      </c>
      <c r="K25" s="447" t="s">
        <v>433</v>
      </c>
      <c r="L25" s="315"/>
      <c r="M25" s="315"/>
    </row>
    <row r="26" spans="1:15" ht="15.75" x14ac:dyDescent="0.25">
      <c r="A26" s="315"/>
      <c r="B26" s="448" t="s">
        <v>33</v>
      </c>
      <c r="C26" s="449"/>
      <c r="D26" s="449">
        <f>SUM(D25:D25)</f>
        <v>1</v>
      </c>
      <c r="E26" s="449">
        <f t="shared" ref="E26:I26" si="3">SUM(E25:E25)</f>
        <v>0</v>
      </c>
      <c r="F26" s="449">
        <f t="shared" si="3"/>
        <v>1</v>
      </c>
      <c r="G26" s="449">
        <f t="shared" si="3"/>
        <v>1</v>
      </c>
      <c r="H26" s="449">
        <f t="shared" si="3"/>
        <v>10.7</v>
      </c>
      <c r="I26" s="449">
        <f t="shared" si="3"/>
        <v>10.7</v>
      </c>
      <c r="J26" s="449"/>
      <c r="K26" s="449"/>
      <c r="L26" s="315"/>
      <c r="M26" s="315"/>
    </row>
    <row r="27" spans="1:15" ht="15" x14ac:dyDescent="0.25">
      <c r="A27" s="402"/>
      <c r="B27" s="351" t="s">
        <v>85</v>
      </c>
      <c r="C27" s="404" t="s">
        <v>12</v>
      </c>
      <c r="D27" s="405">
        <v>1</v>
      </c>
      <c r="E27" s="405">
        <v>0</v>
      </c>
      <c r="F27" s="405">
        <f>E27+D27</f>
        <v>1</v>
      </c>
      <c r="G27" s="405">
        <v>1</v>
      </c>
      <c r="H27" s="405">
        <v>6.7</v>
      </c>
      <c r="I27" s="405">
        <f t="shared" ref="I27:I31" si="4">G27*H27</f>
        <v>6.7</v>
      </c>
      <c r="J27" s="405" t="s">
        <v>27</v>
      </c>
      <c r="K27" s="447" t="s">
        <v>481</v>
      </c>
      <c r="L27" s="315"/>
      <c r="M27" s="315"/>
    </row>
    <row r="28" spans="1:15" ht="15" x14ac:dyDescent="0.25">
      <c r="A28" s="402"/>
      <c r="B28" s="351" t="s">
        <v>77</v>
      </c>
      <c r="C28" s="404" t="s">
        <v>15</v>
      </c>
      <c r="D28" s="405">
        <v>3</v>
      </c>
      <c r="E28" s="405">
        <v>0</v>
      </c>
      <c r="F28" s="405">
        <f>E28+D28</f>
        <v>3</v>
      </c>
      <c r="G28" s="405">
        <v>3</v>
      </c>
      <c r="H28" s="405">
        <v>6.65</v>
      </c>
      <c r="I28" s="405">
        <f t="shared" si="4"/>
        <v>19.950000000000003</v>
      </c>
      <c r="J28" s="405" t="s">
        <v>27</v>
      </c>
      <c r="K28" s="447"/>
      <c r="L28" s="315"/>
      <c r="M28" s="315"/>
      <c r="O28" t="s">
        <v>16</v>
      </c>
    </row>
    <row r="29" spans="1:15" ht="14.25" customHeight="1" x14ac:dyDescent="0.25">
      <c r="A29" s="402" t="s">
        <v>75</v>
      </c>
      <c r="B29" s="351" t="s">
        <v>78</v>
      </c>
      <c r="C29" s="404" t="s">
        <v>274</v>
      </c>
      <c r="D29" s="405">
        <v>1</v>
      </c>
      <c r="E29" s="405">
        <v>0</v>
      </c>
      <c r="F29" s="405">
        <f>E29+D29</f>
        <v>1</v>
      </c>
      <c r="G29" s="405">
        <v>2</v>
      </c>
      <c r="H29" s="405">
        <v>6.7</v>
      </c>
      <c r="I29" s="405">
        <f t="shared" si="4"/>
        <v>13.4</v>
      </c>
      <c r="J29" s="405" t="s">
        <v>27</v>
      </c>
      <c r="K29" s="447" t="s">
        <v>436</v>
      </c>
      <c r="L29" s="315" t="s">
        <v>16</v>
      </c>
      <c r="M29" s="315"/>
    </row>
    <row r="30" spans="1:15" ht="14.25" customHeight="1" x14ac:dyDescent="0.25">
      <c r="A30" s="402" t="s">
        <v>16</v>
      </c>
      <c r="B30" s="351" t="s">
        <v>442</v>
      </c>
      <c r="C30" s="404" t="s">
        <v>16</v>
      </c>
      <c r="D30" s="405">
        <v>5</v>
      </c>
      <c r="E30" s="405">
        <v>0</v>
      </c>
      <c r="F30" s="405">
        <f>E30+D30</f>
        <v>5</v>
      </c>
      <c r="G30" s="405">
        <v>3</v>
      </c>
      <c r="H30" s="405">
        <v>6.7</v>
      </c>
      <c r="I30" s="405">
        <f t="shared" si="4"/>
        <v>20.100000000000001</v>
      </c>
      <c r="J30" s="405" t="s">
        <v>27</v>
      </c>
      <c r="K30" s="447" t="s">
        <v>436</v>
      </c>
      <c r="L30" s="315"/>
      <c r="M30" s="315"/>
    </row>
    <row r="31" spans="1:15" ht="14.25" customHeight="1" x14ac:dyDescent="0.25">
      <c r="A31" s="402"/>
      <c r="B31" s="351" t="s">
        <v>60</v>
      </c>
      <c r="C31" s="404"/>
      <c r="D31" s="405"/>
      <c r="E31" s="405"/>
      <c r="F31" s="405" t="s">
        <v>16</v>
      </c>
      <c r="G31" s="405">
        <v>1</v>
      </c>
      <c r="H31" s="405">
        <v>8</v>
      </c>
      <c r="I31" s="405">
        <f t="shared" si="4"/>
        <v>8</v>
      </c>
      <c r="J31" s="405" t="s">
        <v>28</v>
      </c>
      <c r="K31" s="447" t="s">
        <v>482</v>
      </c>
      <c r="L31" s="315"/>
      <c r="M31" s="315"/>
    </row>
    <row r="32" spans="1:15" ht="15.75" x14ac:dyDescent="0.25">
      <c r="A32" s="410"/>
      <c r="B32" s="448" t="s">
        <v>33</v>
      </c>
      <c r="C32" s="449"/>
      <c r="D32" s="449">
        <f t="shared" ref="D32:I32" si="5">SUM(D27:D31)</f>
        <v>10</v>
      </c>
      <c r="E32" s="449">
        <f t="shared" si="5"/>
        <v>0</v>
      </c>
      <c r="F32" s="449">
        <f t="shared" si="5"/>
        <v>10</v>
      </c>
      <c r="G32" s="449">
        <f t="shared" si="5"/>
        <v>10</v>
      </c>
      <c r="H32" s="449">
        <f t="shared" si="5"/>
        <v>34.75</v>
      </c>
      <c r="I32" s="449">
        <f t="shared" si="5"/>
        <v>68.150000000000006</v>
      </c>
      <c r="J32" s="449"/>
      <c r="K32" s="449"/>
      <c r="L32" s="315"/>
      <c r="M32" s="315"/>
    </row>
    <row r="33" spans="1:18" ht="24" x14ac:dyDescent="0.25">
      <c r="A33" s="402" t="s">
        <v>88</v>
      </c>
      <c r="B33" s="351" t="s">
        <v>89</v>
      </c>
      <c r="C33" s="404" t="s">
        <v>12</v>
      </c>
      <c r="D33" s="405">
        <v>6</v>
      </c>
      <c r="E33" s="405">
        <v>0</v>
      </c>
      <c r="F33" s="405">
        <f>E33+D33</f>
        <v>6</v>
      </c>
      <c r="G33" s="405">
        <v>3</v>
      </c>
      <c r="H33" s="405">
        <v>10.7</v>
      </c>
      <c r="I33" s="405">
        <f>H33*G33</f>
        <v>32.099999999999994</v>
      </c>
      <c r="J33" s="405" t="s">
        <v>27</v>
      </c>
      <c r="K33" s="425" t="s">
        <v>483</v>
      </c>
      <c r="L33" s="315"/>
      <c r="M33" s="315"/>
    </row>
    <row r="34" spans="1:18" ht="15" x14ac:dyDescent="0.25">
      <c r="A34" s="402"/>
      <c r="B34" s="351" t="s">
        <v>90</v>
      </c>
      <c r="C34" s="404" t="s">
        <v>274</v>
      </c>
      <c r="D34" s="405">
        <v>15</v>
      </c>
      <c r="E34" s="405">
        <v>0</v>
      </c>
      <c r="F34" s="405">
        <f>E34+D34</f>
        <v>15</v>
      </c>
      <c r="G34" s="405">
        <v>16</v>
      </c>
      <c r="H34" s="405">
        <v>6.65</v>
      </c>
      <c r="I34" s="405">
        <f t="shared" ref="I34" si="6">G34*H34</f>
        <v>106.4</v>
      </c>
      <c r="J34" s="405" t="s">
        <v>27</v>
      </c>
      <c r="K34" s="447" t="s">
        <v>436</v>
      </c>
      <c r="L34" s="315"/>
      <c r="M34" s="315"/>
    </row>
    <row r="35" spans="1:18" ht="15.75" x14ac:dyDescent="0.25">
      <c r="A35" s="410"/>
      <c r="B35" s="448" t="s">
        <v>33</v>
      </c>
      <c r="C35" s="449"/>
      <c r="D35" s="449">
        <f>SUM(D33:D34)</f>
        <v>21</v>
      </c>
      <c r="E35" s="449">
        <f t="shared" ref="E35:I35" si="7">SUM(E33:E34)</f>
        <v>0</v>
      </c>
      <c r="F35" s="449">
        <f t="shared" si="7"/>
        <v>21</v>
      </c>
      <c r="G35" s="449">
        <f t="shared" si="7"/>
        <v>19</v>
      </c>
      <c r="H35" s="449">
        <f t="shared" si="7"/>
        <v>17.350000000000001</v>
      </c>
      <c r="I35" s="449">
        <f t="shared" si="7"/>
        <v>138.5</v>
      </c>
      <c r="J35" s="449"/>
      <c r="K35" s="449"/>
      <c r="L35" s="315"/>
      <c r="M35" s="315" t="s">
        <v>16</v>
      </c>
    </row>
    <row r="36" spans="1:18" ht="17.25" customHeight="1" x14ac:dyDescent="0.25">
      <c r="A36" s="402" t="s">
        <v>451</v>
      </c>
      <c r="B36" s="351" t="s">
        <v>91</v>
      </c>
      <c r="C36" s="404" t="s">
        <v>12</v>
      </c>
      <c r="D36" s="405">
        <v>1</v>
      </c>
      <c r="E36" s="405">
        <v>0</v>
      </c>
      <c r="F36" s="405">
        <f>E36+D36</f>
        <v>1</v>
      </c>
      <c r="G36" s="405">
        <v>1</v>
      </c>
      <c r="H36" s="405">
        <v>10.7</v>
      </c>
      <c r="I36" s="405">
        <f t="shared" ref="I36:I42" si="8">G36*H36</f>
        <v>10.7</v>
      </c>
      <c r="J36" s="405" t="s">
        <v>27</v>
      </c>
      <c r="K36" s="447" t="s">
        <v>452</v>
      </c>
      <c r="L36" s="315"/>
      <c r="M36" s="315"/>
      <c r="O36" t="s">
        <v>16</v>
      </c>
    </row>
    <row r="37" spans="1:18" ht="15" x14ac:dyDescent="0.25">
      <c r="A37" s="402"/>
      <c r="B37" s="351" t="s">
        <v>92</v>
      </c>
      <c r="C37" s="404" t="s">
        <v>15</v>
      </c>
      <c r="D37" s="405">
        <v>1</v>
      </c>
      <c r="E37" s="405">
        <v>0</v>
      </c>
      <c r="F37" s="405">
        <f>E37+D37</f>
        <v>1</v>
      </c>
      <c r="G37" s="405">
        <v>1</v>
      </c>
      <c r="H37" s="405">
        <v>10.7</v>
      </c>
      <c r="I37" s="405">
        <f t="shared" si="8"/>
        <v>10.7</v>
      </c>
      <c r="J37" s="405" t="s">
        <v>27</v>
      </c>
      <c r="K37" s="447"/>
      <c r="L37" s="315"/>
      <c r="M37" s="315"/>
    </row>
    <row r="38" spans="1:18" ht="15" x14ac:dyDescent="0.25">
      <c r="A38" s="402" t="s">
        <v>484</v>
      </c>
      <c r="B38" s="351" t="s">
        <v>77</v>
      </c>
      <c r="C38" s="404" t="s">
        <v>15</v>
      </c>
      <c r="D38" s="405">
        <v>2</v>
      </c>
      <c r="E38" s="405">
        <v>0</v>
      </c>
      <c r="F38" s="405">
        <f>E38+D38</f>
        <v>2</v>
      </c>
      <c r="G38" s="405">
        <v>1</v>
      </c>
      <c r="H38" s="405">
        <v>10.7</v>
      </c>
      <c r="I38" s="405">
        <f t="shared" si="8"/>
        <v>10.7</v>
      </c>
      <c r="J38" s="405" t="s">
        <v>27</v>
      </c>
      <c r="K38" s="447" t="s">
        <v>238</v>
      </c>
      <c r="L38" s="315"/>
      <c r="M38" s="315"/>
    </row>
    <row r="39" spans="1:18" ht="15" x14ac:dyDescent="0.25">
      <c r="A39" s="402"/>
      <c r="B39" s="351" t="s">
        <v>93</v>
      </c>
      <c r="C39" s="404"/>
      <c r="D39" s="405">
        <v>5</v>
      </c>
      <c r="E39" s="405">
        <v>0</v>
      </c>
      <c r="F39" s="405">
        <f>E39+D39</f>
        <v>5</v>
      </c>
      <c r="G39" s="405">
        <v>5</v>
      </c>
      <c r="H39" s="405">
        <v>6.7</v>
      </c>
      <c r="I39" s="405">
        <f t="shared" si="8"/>
        <v>33.5</v>
      </c>
      <c r="J39" s="405" t="s">
        <v>27</v>
      </c>
      <c r="K39" s="447" t="s">
        <v>446</v>
      </c>
      <c r="L39" s="315"/>
      <c r="M39" s="315"/>
    </row>
    <row r="40" spans="1:18" ht="15" x14ac:dyDescent="0.25">
      <c r="A40" s="402"/>
      <c r="B40" s="351" t="s">
        <v>485</v>
      </c>
      <c r="C40" s="404"/>
      <c r="D40" s="405">
        <v>3</v>
      </c>
      <c r="E40" s="405">
        <v>0</v>
      </c>
      <c r="F40" s="405">
        <v>3</v>
      </c>
      <c r="G40" s="405">
        <v>3</v>
      </c>
      <c r="H40" s="405">
        <v>4.43</v>
      </c>
      <c r="I40" s="405">
        <f t="shared" si="8"/>
        <v>13.29</v>
      </c>
      <c r="J40" s="405"/>
      <c r="K40" s="447"/>
      <c r="L40" s="315"/>
      <c r="M40" s="315"/>
    </row>
    <row r="41" spans="1:18" ht="15" x14ac:dyDescent="0.25">
      <c r="A41" s="402"/>
      <c r="B41" s="351" t="s">
        <v>60</v>
      </c>
      <c r="C41" s="404"/>
      <c r="D41" s="405" t="s">
        <v>16</v>
      </c>
      <c r="E41" s="405"/>
      <c r="F41" s="405"/>
      <c r="G41" s="405">
        <v>1</v>
      </c>
      <c r="H41" s="405">
        <v>8</v>
      </c>
      <c r="I41" s="405">
        <f t="shared" si="8"/>
        <v>8</v>
      </c>
      <c r="J41" s="405" t="s">
        <v>28</v>
      </c>
      <c r="K41" s="447" t="s">
        <v>482</v>
      </c>
      <c r="L41" s="315"/>
      <c r="M41" s="315"/>
      <c r="O41" t="s">
        <v>16</v>
      </c>
    </row>
    <row r="42" spans="1:18" ht="15" x14ac:dyDescent="0.25">
      <c r="A42" s="402"/>
      <c r="B42" s="351" t="s">
        <v>94</v>
      </c>
      <c r="C42" s="404"/>
      <c r="D42" s="405"/>
      <c r="E42" s="405"/>
      <c r="F42" s="405"/>
      <c r="G42" s="405">
        <v>1</v>
      </c>
      <c r="H42" s="405">
        <v>25</v>
      </c>
      <c r="I42" s="405">
        <f t="shared" si="8"/>
        <v>25</v>
      </c>
      <c r="J42" s="405" t="s">
        <v>27</v>
      </c>
      <c r="K42" s="447" t="s">
        <v>486</v>
      </c>
      <c r="L42" s="315"/>
      <c r="M42" s="315" t="s">
        <v>431</v>
      </c>
    </row>
    <row r="43" spans="1:18" ht="15.75" x14ac:dyDescent="0.25">
      <c r="A43" s="410"/>
      <c r="B43" s="448" t="s">
        <v>33</v>
      </c>
      <c r="C43" s="449"/>
      <c r="D43" s="449">
        <f t="shared" ref="D43:I43" si="9">SUM(D36:D42)</f>
        <v>12</v>
      </c>
      <c r="E43" s="449">
        <f t="shared" si="9"/>
        <v>0</v>
      </c>
      <c r="F43" s="449">
        <f t="shared" si="9"/>
        <v>12</v>
      </c>
      <c r="G43" s="449">
        <f t="shared" si="9"/>
        <v>13</v>
      </c>
      <c r="H43" s="449">
        <f t="shared" si="9"/>
        <v>76.22999999999999</v>
      </c>
      <c r="I43" s="449">
        <f t="shared" si="9"/>
        <v>111.88999999999999</v>
      </c>
      <c r="J43" s="449"/>
      <c r="K43" s="449"/>
      <c r="L43" s="315" t="s">
        <v>16</v>
      </c>
      <c r="M43" s="315"/>
      <c r="N43" t="s">
        <v>16</v>
      </c>
      <c r="O43" t="s">
        <v>16</v>
      </c>
      <c r="R43" t="s">
        <v>16</v>
      </c>
    </row>
    <row r="44" spans="1:18" ht="15" x14ac:dyDescent="0.25">
      <c r="A44" s="402"/>
      <c r="B44" s="379" t="s">
        <v>100</v>
      </c>
      <c r="C44" s="424"/>
      <c r="D44" s="405"/>
      <c r="E44" s="405"/>
      <c r="F44" s="405"/>
      <c r="G44" s="405">
        <v>1</v>
      </c>
      <c r="H44" s="405">
        <v>12</v>
      </c>
      <c r="I44" s="405">
        <f>I45</f>
        <v>36</v>
      </c>
      <c r="J44" s="405" t="s">
        <v>27</v>
      </c>
      <c r="K44" s="447" t="s">
        <v>16</v>
      </c>
      <c r="L44" s="315"/>
      <c r="M44" s="315"/>
    </row>
    <row r="45" spans="1:18" ht="15" x14ac:dyDescent="0.25">
      <c r="A45" s="402"/>
      <c r="B45" s="376" t="s">
        <v>101</v>
      </c>
      <c r="C45" s="424"/>
      <c r="D45" s="405"/>
      <c r="E45" s="405"/>
      <c r="F45" s="405"/>
      <c r="G45" s="405">
        <v>3</v>
      </c>
      <c r="H45" s="405">
        <v>12</v>
      </c>
      <c r="I45" s="405">
        <f t="shared" ref="I45:I50" si="10">G45*H45</f>
        <v>36</v>
      </c>
      <c r="J45" s="405" t="s">
        <v>27</v>
      </c>
      <c r="K45" s="447" t="s">
        <v>487</v>
      </c>
      <c r="L45" s="315" t="s">
        <v>16</v>
      </c>
      <c r="M45" s="315"/>
    </row>
    <row r="46" spans="1:18" ht="15" x14ac:dyDescent="0.25">
      <c r="A46" s="402" t="s">
        <v>16</v>
      </c>
      <c r="B46" s="379" t="s">
        <v>65</v>
      </c>
      <c r="C46" s="424"/>
      <c r="D46" s="405"/>
      <c r="E46" s="405"/>
      <c r="F46" s="405"/>
      <c r="G46" s="405">
        <v>2</v>
      </c>
      <c r="H46" s="405">
        <v>13.8</v>
      </c>
      <c r="I46" s="405">
        <f t="shared" si="10"/>
        <v>27.6</v>
      </c>
      <c r="J46" s="405" t="s">
        <v>27</v>
      </c>
      <c r="K46" s="447" t="s">
        <v>16</v>
      </c>
      <c r="L46" s="315"/>
      <c r="M46" s="315"/>
      <c r="O46" t="s">
        <v>16</v>
      </c>
    </row>
    <row r="47" spans="1:18" ht="15" x14ac:dyDescent="0.25">
      <c r="A47" s="402" t="s">
        <v>64</v>
      </c>
      <c r="B47" s="379" t="s">
        <v>102</v>
      </c>
      <c r="C47" s="424"/>
      <c r="D47" s="405"/>
      <c r="E47" s="405"/>
      <c r="F47" s="405"/>
      <c r="G47" s="405">
        <v>3</v>
      </c>
      <c r="H47" s="405">
        <v>5</v>
      </c>
      <c r="I47" s="405">
        <f t="shared" si="10"/>
        <v>15</v>
      </c>
      <c r="J47" s="405" t="s">
        <v>27</v>
      </c>
      <c r="K47" s="447" t="s">
        <v>487</v>
      </c>
      <c r="L47" s="315"/>
      <c r="M47" s="315"/>
    </row>
    <row r="48" spans="1:18" ht="15" x14ac:dyDescent="0.25">
      <c r="A48" s="402"/>
      <c r="B48" s="379" t="s">
        <v>103</v>
      </c>
      <c r="C48" s="424"/>
      <c r="D48" s="405"/>
      <c r="E48" s="405"/>
      <c r="F48" s="405"/>
      <c r="G48" s="405">
        <v>1</v>
      </c>
      <c r="H48" s="405">
        <v>10</v>
      </c>
      <c r="I48" s="405">
        <f t="shared" si="10"/>
        <v>10</v>
      </c>
      <c r="J48" s="405" t="s">
        <v>27</v>
      </c>
      <c r="K48" s="447" t="s">
        <v>464</v>
      </c>
      <c r="L48" s="315"/>
      <c r="M48" s="315"/>
    </row>
    <row r="49" spans="1:18" ht="15" x14ac:dyDescent="0.25">
      <c r="A49" s="402"/>
      <c r="B49" s="379" t="s">
        <v>104</v>
      </c>
      <c r="C49" s="424"/>
      <c r="D49" s="405"/>
      <c r="E49" s="405"/>
      <c r="F49" s="405"/>
      <c r="G49" s="405">
        <v>1</v>
      </c>
      <c r="H49" s="405">
        <v>10</v>
      </c>
      <c r="I49" s="405">
        <f t="shared" si="10"/>
        <v>10</v>
      </c>
      <c r="J49" s="405" t="s">
        <v>27</v>
      </c>
      <c r="K49" s="447"/>
      <c r="L49" s="315"/>
      <c r="M49" s="315"/>
    </row>
    <row r="50" spans="1:18" ht="15" x14ac:dyDescent="0.25">
      <c r="A50" s="402"/>
      <c r="B50" s="351" t="s">
        <v>105</v>
      </c>
      <c r="C50" s="424"/>
      <c r="D50" s="405"/>
      <c r="E50" s="405"/>
      <c r="F50" s="405"/>
      <c r="G50" s="405">
        <v>3</v>
      </c>
      <c r="H50" s="405">
        <v>5</v>
      </c>
      <c r="I50" s="405">
        <f t="shared" si="10"/>
        <v>15</v>
      </c>
      <c r="J50" s="405" t="s">
        <v>27</v>
      </c>
      <c r="K50" s="447" t="s">
        <v>488</v>
      </c>
      <c r="L50" s="315"/>
      <c r="M50" s="315"/>
    </row>
    <row r="51" spans="1:18" ht="15.75" x14ac:dyDescent="0.25">
      <c r="A51" s="410"/>
      <c r="B51" s="448" t="s">
        <v>33</v>
      </c>
      <c r="C51" s="450"/>
      <c r="D51" s="451" t="s">
        <v>16</v>
      </c>
      <c r="E51" s="451" t="s">
        <v>16</v>
      </c>
      <c r="F51" s="451" t="s">
        <v>16</v>
      </c>
      <c r="G51" s="451">
        <f t="shared" ref="G51:H51" si="11">SUM(G44:G50)</f>
        <v>14</v>
      </c>
      <c r="H51" s="451">
        <f t="shared" si="11"/>
        <v>67.8</v>
      </c>
      <c r="I51" s="451">
        <f>SUM(I44:I50)</f>
        <v>149.6</v>
      </c>
      <c r="J51" s="405"/>
      <c r="K51" s="449"/>
      <c r="L51" s="315"/>
      <c r="M51" s="315"/>
      <c r="R51" t="s">
        <v>16</v>
      </c>
    </row>
    <row r="52" spans="1:18" ht="15" x14ac:dyDescent="0.25">
      <c r="A52" s="315"/>
      <c r="B52" s="398"/>
      <c r="C52" s="317"/>
      <c r="D52" s="428"/>
      <c r="E52" s="428"/>
      <c r="F52" s="428"/>
      <c r="G52" s="428"/>
      <c r="H52" s="428"/>
      <c r="I52" s="428"/>
      <c r="J52" s="428"/>
      <c r="K52" s="398"/>
      <c r="L52" s="315"/>
      <c r="M52" s="315"/>
    </row>
    <row r="53" spans="1:18" ht="15.75" x14ac:dyDescent="0.25">
      <c r="A53" s="315"/>
      <c r="B53" s="452" t="s">
        <v>467</v>
      </c>
      <c r="C53" s="432"/>
      <c r="D53" s="430">
        <f>D43+D35+D32+D26+D24</f>
        <v>50</v>
      </c>
      <c r="E53" s="430">
        <f>E43+E35+E32+E26+E24</f>
        <v>0</v>
      </c>
      <c r="F53" s="430">
        <f>F43+F35+F32+F26+F24</f>
        <v>50</v>
      </c>
      <c r="G53" s="430">
        <f>G51+G35+G43+G32+G26+G24</f>
        <v>68</v>
      </c>
      <c r="H53" s="430">
        <f>H51+H35+H43+H32+H26+H24</f>
        <v>319.27999999999997</v>
      </c>
      <c r="I53" s="430">
        <f>I51+I35+I43+I32+I26+I24</f>
        <v>597.93999999999994</v>
      </c>
      <c r="J53" s="432"/>
      <c r="K53" s="398"/>
      <c r="L53" s="315"/>
      <c r="M53" s="315" t="s">
        <v>16</v>
      </c>
    </row>
    <row r="54" spans="1:18" ht="15" x14ac:dyDescent="0.25">
      <c r="A54" s="315"/>
      <c r="B54" s="398"/>
      <c r="C54" s="317"/>
      <c r="D54" s="431"/>
      <c r="E54" s="431"/>
      <c r="F54" s="433" t="s">
        <v>468</v>
      </c>
      <c r="G54" s="433"/>
      <c r="H54" s="434"/>
      <c r="I54" s="430">
        <v>1.7</v>
      </c>
      <c r="J54" s="435"/>
      <c r="K54" s="398"/>
      <c r="L54" s="315"/>
      <c r="M54" s="315"/>
    </row>
    <row r="55" spans="1:18" ht="15" x14ac:dyDescent="0.25">
      <c r="A55" s="315"/>
      <c r="B55" s="398"/>
      <c r="C55" s="317"/>
      <c r="D55" s="431"/>
      <c r="E55" s="431"/>
      <c r="F55" s="433" t="s">
        <v>21</v>
      </c>
      <c r="G55" s="436"/>
      <c r="H55" s="434"/>
      <c r="I55" s="430">
        <f>I54*I53</f>
        <v>1016.4979999999998</v>
      </c>
      <c r="J55" s="435"/>
      <c r="K55" s="398"/>
      <c r="L55" s="315" t="s">
        <v>431</v>
      </c>
      <c r="M55" s="315"/>
      <c r="N55" t="s">
        <v>16</v>
      </c>
    </row>
    <row r="56" spans="1:18" ht="15" x14ac:dyDescent="0.25">
      <c r="A56" s="315"/>
      <c r="B56" s="398"/>
      <c r="C56" s="317"/>
      <c r="D56" s="317"/>
      <c r="E56" s="317"/>
      <c r="F56" s="317"/>
      <c r="G56" s="317"/>
      <c r="H56" s="317"/>
      <c r="I56" s="317"/>
      <c r="J56" s="317"/>
      <c r="K56" s="398"/>
      <c r="L56" s="315"/>
      <c r="M56" s="315"/>
    </row>
    <row r="57" spans="1:18" ht="18.75" x14ac:dyDescent="0.3">
      <c r="A57" s="315"/>
      <c r="B57" s="437" t="s">
        <v>11</v>
      </c>
      <c r="C57" s="438"/>
      <c r="D57" s="438"/>
      <c r="E57" s="438"/>
      <c r="F57" s="438"/>
      <c r="G57" s="438"/>
      <c r="H57" s="439"/>
      <c r="I57" s="438"/>
      <c r="J57" s="440"/>
      <c r="K57" s="398"/>
      <c r="L57" s="315"/>
      <c r="M57" s="315"/>
    </row>
    <row r="58" spans="1:18" ht="15" x14ac:dyDescent="0.25">
      <c r="A58" s="315"/>
      <c r="B58" s="441" t="s">
        <v>469</v>
      </c>
      <c r="C58" s="438"/>
      <c r="D58" s="438"/>
      <c r="E58" s="438"/>
      <c r="F58" s="438"/>
      <c r="G58" s="438"/>
      <c r="H58" s="438"/>
      <c r="I58" s="438"/>
      <c r="J58" s="440"/>
      <c r="K58" s="398"/>
      <c r="L58" s="315"/>
      <c r="M58" s="315"/>
    </row>
    <row r="59" spans="1:18" ht="15" x14ac:dyDescent="0.25">
      <c r="A59" s="315"/>
      <c r="B59" s="441" t="s">
        <v>471</v>
      </c>
      <c r="C59" s="438"/>
      <c r="D59" s="438"/>
      <c r="E59" s="438"/>
      <c r="F59" s="438"/>
      <c r="G59" s="438"/>
      <c r="H59" s="438"/>
      <c r="I59" s="438"/>
      <c r="J59" s="440"/>
      <c r="K59" s="398"/>
      <c r="L59" s="315"/>
      <c r="M59" s="315"/>
    </row>
    <row r="60" spans="1:18" ht="15" x14ac:dyDescent="0.25">
      <c r="A60" s="315"/>
      <c r="B60" s="453" t="s">
        <v>489</v>
      </c>
      <c r="C60" s="317"/>
      <c r="D60" s="317"/>
      <c r="E60" s="317"/>
      <c r="F60" s="317"/>
      <c r="G60" s="317"/>
      <c r="H60" s="317"/>
      <c r="I60" s="317"/>
      <c r="J60" s="317"/>
      <c r="K60" s="398"/>
      <c r="L60" s="315"/>
      <c r="M60" s="315"/>
    </row>
  </sheetData>
  <mergeCells count="3">
    <mergeCell ref="A3:K3"/>
    <mergeCell ref="A4:K4"/>
    <mergeCell ref="A6:K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rightToLeft="1" view="pageBreakPreview" topLeftCell="B13" zoomScaleNormal="100" zoomScaleSheetLayoutView="100" workbookViewId="0">
      <selection activeCell="L14" sqref="L14"/>
    </sheetView>
  </sheetViews>
  <sheetFormatPr defaultRowHeight="15" x14ac:dyDescent="0.25"/>
  <cols>
    <col min="1" max="1" width="11.875" style="391" customWidth="1"/>
    <col min="2" max="2" width="21.25" customWidth="1"/>
    <col min="3" max="3" width="6.375" customWidth="1"/>
    <col min="4" max="4" width="4.375" customWidth="1"/>
    <col min="5" max="5" width="9.25" bestFit="1" customWidth="1"/>
    <col min="6" max="6" width="6.125" style="311" customWidth="1"/>
    <col min="7" max="7" width="7.375" style="311" customWidth="1"/>
    <col min="8" max="8" width="6.25" style="311" customWidth="1"/>
    <col min="9" max="9" width="7.5" style="311" customWidth="1"/>
    <col min="10" max="10" width="41.875" customWidth="1"/>
  </cols>
  <sheetData>
    <row r="1" spans="1:11" ht="14.25" x14ac:dyDescent="0.2">
      <c r="A1"/>
      <c r="B1" s="310"/>
      <c r="C1" s="311"/>
      <c r="D1" s="311"/>
      <c r="E1" s="311"/>
      <c r="J1" s="311"/>
    </row>
    <row r="2" spans="1:11" ht="14.25" x14ac:dyDescent="0.2">
      <c r="A2"/>
      <c r="B2" s="310"/>
      <c r="C2" s="311"/>
      <c r="D2" s="311"/>
      <c r="E2" s="311"/>
      <c r="J2" s="311"/>
    </row>
    <row r="3" spans="1:11" ht="21" x14ac:dyDescent="0.2">
      <c r="A3" s="610" t="s">
        <v>388</v>
      </c>
      <c r="B3" s="610"/>
      <c r="C3" s="610"/>
      <c r="D3" s="610"/>
      <c r="E3" s="610"/>
      <c r="F3" s="610"/>
      <c r="G3" s="610"/>
      <c r="H3" s="610"/>
      <c r="I3" s="610"/>
      <c r="J3" s="610"/>
    </row>
    <row r="4" spans="1:11" ht="18.75" x14ac:dyDescent="0.2">
      <c r="A4" s="611" t="s">
        <v>389</v>
      </c>
      <c r="B4" s="611"/>
      <c r="C4" s="611"/>
      <c r="D4" s="611"/>
      <c r="E4" s="611"/>
      <c r="F4" s="611"/>
      <c r="G4" s="611"/>
      <c r="H4" s="611"/>
      <c r="I4" s="611"/>
      <c r="J4" s="611"/>
    </row>
    <row r="5" spans="1:11" ht="26.25" x14ac:dyDescent="0.4">
      <c r="A5"/>
      <c r="B5" s="312"/>
      <c r="D5" s="311"/>
      <c r="E5" s="311"/>
      <c r="F5" s="313"/>
      <c r="J5" s="311"/>
    </row>
    <row r="6" spans="1:11" ht="18.75" x14ac:dyDescent="0.2">
      <c r="A6" s="612" t="s">
        <v>390</v>
      </c>
      <c r="B6" s="612"/>
      <c r="C6" s="612"/>
      <c r="D6" s="612"/>
      <c r="E6" s="612"/>
      <c r="F6" s="612"/>
      <c r="G6" s="612"/>
      <c r="H6" s="612"/>
      <c r="I6" s="612"/>
      <c r="J6" s="612"/>
    </row>
    <row r="7" spans="1:11" ht="28.5" x14ac:dyDescent="0.45">
      <c r="A7" s="314"/>
      <c r="B7" s="315"/>
      <c r="C7" s="316" t="s">
        <v>391</v>
      </c>
      <c r="D7" s="315"/>
      <c r="E7" s="315"/>
      <c r="F7" s="317"/>
      <c r="G7" s="317"/>
      <c r="H7" s="317"/>
      <c r="I7" s="317"/>
      <c r="J7" s="318" t="s">
        <v>392</v>
      </c>
    </row>
    <row r="8" spans="1:11" s="324" customFormat="1" ht="16.5" thickBot="1" x14ac:dyDescent="0.3">
      <c r="A8" s="319"/>
      <c r="B8" s="320"/>
      <c r="C8" s="321"/>
      <c r="D8" s="321"/>
      <c r="E8" s="322"/>
      <c r="F8" s="323"/>
      <c r="G8" s="321"/>
      <c r="H8" s="323"/>
      <c r="I8" s="321"/>
      <c r="J8" s="320"/>
    </row>
    <row r="9" spans="1:11" s="324" customFormat="1" ht="88.5" customHeight="1" x14ac:dyDescent="0.25">
      <c r="A9" s="325" t="s">
        <v>5</v>
      </c>
      <c r="B9" s="326" t="s">
        <v>6</v>
      </c>
      <c r="C9" s="620" t="s">
        <v>393</v>
      </c>
      <c r="D9" s="327" t="s">
        <v>394</v>
      </c>
      <c r="E9" s="328" t="s">
        <v>395</v>
      </c>
      <c r="F9" s="620" t="s">
        <v>244</v>
      </c>
      <c r="G9" s="620" t="s">
        <v>245</v>
      </c>
      <c r="H9" s="620" t="s">
        <v>396</v>
      </c>
      <c r="I9" s="622" t="s">
        <v>397</v>
      </c>
      <c r="J9" s="329" t="s">
        <v>11</v>
      </c>
    </row>
    <row r="10" spans="1:11" s="324" customFormat="1" ht="28.5" customHeight="1" thickBot="1" x14ac:dyDescent="0.3">
      <c r="A10" s="330"/>
      <c r="B10" s="331"/>
      <c r="C10" s="621"/>
      <c r="D10" s="332">
        <v>4.8</v>
      </c>
      <c r="E10" s="332">
        <v>6.4</v>
      </c>
      <c r="F10" s="621"/>
      <c r="G10" s="621"/>
      <c r="H10" s="621"/>
      <c r="I10" s="623"/>
      <c r="J10" s="333"/>
    </row>
    <row r="11" spans="1:11" s="324" customFormat="1" ht="23.25" customHeight="1" thickTop="1" x14ac:dyDescent="0.25">
      <c r="A11" s="613" t="s">
        <v>34</v>
      </c>
      <c r="B11" s="334" t="s">
        <v>53</v>
      </c>
      <c r="C11" s="335">
        <v>1</v>
      </c>
      <c r="D11" s="335"/>
      <c r="E11" s="335">
        <v>1</v>
      </c>
      <c r="F11" s="335">
        <v>1</v>
      </c>
      <c r="G11" s="336">
        <v>6.7</v>
      </c>
      <c r="H11" s="335">
        <v>1</v>
      </c>
      <c r="I11" s="337">
        <f>+H11*G11</f>
        <v>6.7</v>
      </c>
      <c r="J11" s="338"/>
    </row>
    <row r="12" spans="1:11" s="324" customFormat="1" ht="23.25" customHeight="1" thickBot="1" x14ac:dyDescent="0.3">
      <c r="A12" s="614"/>
      <c r="B12" s="339" t="s">
        <v>54</v>
      </c>
      <c r="C12" s="340">
        <v>1</v>
      </c>
      <c r="D12" s="340">
        <v>1</v>
      </c>
      <c r="E12" s="340" t="s">
        <v>16</v>
      </c>
      <c r="F12" s="340">
        <v>1</v>
      </c>
      <c r="G12" s="341">
        <v>4.8</v>
      </c>
      <c r="H12" s="340">
        <v>1</v>
      </c>
      <c r="I12" s="342">
        <f>+H12*G12</f>
        <v>4.8</v>
      </c>
      <c r="J12" s="343"/>
      <c r="K12" s="324" t="s">
        <v>16</v>
      </c>
    </row>
    <row r="13" spans="1:11" s="324" customFormat="1" ht="22.5" customHeight="1" thickBot="1" x14ac:dyDescent="0.3">
      <c r="A13" s="344" t="s">
        <v>55</v>
      </c>
      <c r="B13" s="345" t="s">
        <v>56</v>
      </c>
      <c r="C13" s="346">
        <v>2</v>
      </c>
      <c r="D13" s="346">
        <v>2</v>
      </c>
      <c r="E13" s="346"/>
      <c r="F13" s="346">
        <v>2</v>
      </c>
      <c r="G13" s="347">
        <v>4.8</v>
      </c>
      <c r="H13" s="346">
        <v>1</v>
      </c>
      <c r="I13" s="348">
        <f>+H13*G13</f>
        <v>4.8</v>
      </c>
      <c r="J13" s="349"/>
    </row>
    <row r="14" spans="1:11" s="324" customFormat="1" ht="23.25" customHeight="1" x14ac:dyDescent="0.25">
      <c r="A14" s="615" t="s">
        <v>57</v>
      </c>
      <c r="B14" s="345" t="s">
        <v>58</v>
      </c>
      <c r="C14" s="346">
        <v>1</v>
      </c>
      <c r="D14" s="346">
        <v>1</v>
      </c>
      <c r="E14" s="346"/>
      <c r="F14" s="346">
        <v>1</v>
      </c>
      <c r="G14" s="347">
        <v>4.8</v>
      </c>
      <c r="H14" s="346">
        <v>1</v>
      </c>
      <c r="I14" s="348">
        <f t="shared" ref="I14:I22" si="0">+H14*G14</f>
        <v>4.8</v>
      </c>
      <c r="J14" s="350" t="s">
        <v>16</v>
      </c>
      <c r="K14" s="324" t="s">
        <v>16</v>
      </c>
    </row>
    <row r="15" spans="1:11" s="324" customFormat="1" ht="23.25" customHeight="1" x14ac:dyDescent="0.25">
      <c r="A15" s="616"/>
      <c r="B15" s="351" t="s">
        <v>59</v>
      </c>
      <c r="C15" s="352">
        <v>10</v>
      </c>
      <c r="D15" s="353">
        <v>10</v>
      </c>
      <c r="E15" s="353"/>
      <c r="F15" s="352">
        <v>2</v>
      </c>
      <c r="G15" s="354">
        <v>4.8</v>
      </c>
      <c r="H15" s="355">
        <v>5</v>
      </c>
      <c r="I15" s="356">
        <f t="shared" si="0"/>
        <v>24</v>
      </c>
      <c r="J15" s="357"/>
    </row>
    <row r="16" spans="1:11" s="324" customFormat="1" ht="21.75" customHeight="1" thickBot="1" x14ac:dyDescent="0.3">
      <c r="A16" s="614"/>
      <c r="B16" s="339" t="s">
        <v>60</v>
      </c>
      <c r="C16" s="358"/>
      <c r="D16" s="358"/>
      <c r="E16" s="358"/>
      <c r="F16" s="358"/>
      <c r="G16" s="359">
        <f>10*0.8</f>
        <v>8</v>
      </c>
      <c r="H16" s="340">
        <v>1</v>
      </c>
      <c r="I16" s="342">
        <f t="shared" si="0"/>
        <v>8</v>
      </c>
      <c r="J16" s="360" t="s">
        <v>398</v>
      </c>
    </row>
    <row r="17" spans="1:17" s="324" customFormat="1" ht="21" customHeight="1" x14ac:dyDescent="0.25">
      <c r="A17" s="361" t="s">
        <v>61</v>
      </c>
      <c r="B17" s="362" t="s">
        <v>62</v>
      </c>
      <c r="C17" s="363">
        <v>1</v>
      </c>
      <c r="D17" s="364">
        <v>1</v>
      </c>
      <c r="E17" s="364"/>
      <c r="F17" s="363">
        <v>1</v>
      </c>
      <c r="G17" s="354">
        <v>4.8</v>
      </c>
      <c r="H17" s="365">
        <v>1</v>
      </c>
      <c r="I17" s="366">
        <f t="shared" si="0"/>
        <v>4.8</v>
      </c>
      <c r="J17" s="367"/>
    </row>
    <row r="18" spans="1:17" s="324" customFormat="1" ht="21" customHeight="1" thickBot="1" x14ac:dyDescent="0.3">
      <c r="A18" s="368"/>
      <c r="B18" s="339" t="s">
        <v>59</v>
      </c>
      <c r="C18" s="358">
        <v>4</v>
      </c>
      <c r="D18" s="358">
        <v>4</v>
      </c>
      <c r="E18" s="358"/>
      <c r="F18" s="358">
        <v>2</v>
      </c>
      <c r="G18" s="341">
        <v>4.8</v>
      </c>
      <c r="H18" s="340">
        <v>2</v>
      </c>
      <c r="I18" s="342">
        <f t="shared" si="0"/>
        <v>9.6</v>
      </c>
      <c r="J18" s="360"/>
    </row>
    <row r="19" spans="1:17" s="324" customFormat="1" ht="21" customHeight="1" thickBot="1" x14ac:dyDescent="0.3">
      <c r="A19" s="369" t="s">
        <v>63</v>
      </c>
      <c r="B19" s="370" t="s">
        <v>59</v>
      </c>
      <c r="C19" s="371">
        <v>10</v>
      </c>
      <c r="D19" s="371">
        <v>10</v>
      </c>
      <c r="E19" s="371"/>
      <c r="F19" s="371">
        <v>2</v>
      </c>
      <c r="G19" s="372">
        <v>4.8</v>
      </c>
      <c r="H19" s="373">
        <v>5</v>
      </c>
      <c r="I19" s="374">
        <f t="shared" si="0"/>
        <v>24</v>
      </c>
      <c r="J19" s="375"/>
    </row>
    <row r="20" spans="1:17" s="324" customFormat="1" ht="20.25" customHeight="1" x14ac:dyDescent="0.25">
      <c r="A20" s="617" t="s">
        <v>64</v>
      </c>
      <c r="B20" s="376" t="s">
        <v>65</v>
      </c>
      <c r="C20" s="364"/>
      <c r="D20" s="364"/>
      <c r="E20" s="364"/>
      <c r="F20" s="364"/>
      <c r="G20" s="366">
        <v>4.5</v>
      </c>
      <c r="H20" s="377">
        <v>1</v>
      </c>
      <c r="I20" s="366">
        <f t="shared" si="0"/>
        <v>4.5</v>
      </c>
      <c r="J20" s="378" t="s">
        <v>399</v>
      </c>
    </row>
    <row r="21" spans="1:17" s="324" customFormat="1" ht="18.75" customHeight="1" x14ac:dyDescent="0.25">
      <c r="A21" s="617"/>
      <c r="B21" s="379" t="s">
        <v>66</v>
      </c>
      <c r="C21" s="353"/>
      <c r="D21" s="353"/>
      <c r="E21" s="353"/>
      <c r="F21" s="353"/>
      <c r="G21" s="356">
        <v>4</v>
      </c>
      <c r="H21" s="380">
        <v>1</v>
      </c>
      <c r="I21" s="356">
        <f t="shared" si="0"/>
        <v>4</v>
      </c>
      <c r="J21" s="381"/>
    </row>
    <row r="22" spans="1:17" s="324" customFormat="1" ht="18.75" customHeight="1" x14ac:dyDescent="0.25">
      <c r="A22" s="617"/>
      <c r="B22" s="379" t="s">
        <v>67</v>
      </c>
      <c r="C22" s="353"/>
      <c r="D22" s="353"/>
      <c r="E22" s="353"/>
      <c r="F22" s="353"/>
      <c r="G22" s="356">
        <v>5</v>
      </c>
      <c r="H22" s="380">
        <v>1</v>
      </c>
      <c r="I22" s="356">
        <f t="shared" si="0"/>
        <v>5</v>
      </c>
      <c r="J22" s="357" t="s">
        <v>400</v>
      </c>
    </row>
    <row r="23" spans="1:17" s="324" customFormat="1" ht="18.75" customHeight="1" thickBot="1" x14ac:dyDescent="0.3">
      <c r="A23" s="382"/>
      <c r="B23" s="383" t="s">
        <v>401</v>
      </c>
      <c r="C23" s="363"/>
      <c r="D23" s="363"/>
      <c r="E23" s="363"/>
      <c r="F23" s="363"/>
      <c r="G23" s="384"/>
      <c r="H23" s="385"/>
      <c r="I23" s="384"/>
      <c r="J23" s="375" t="s">
        <v>402</v>
      </c>
    </row>
    <row r="24" spans="1:17" s="389" customFormat="1" ht="21.75" customHeight="1" thickTop="1" thickBot="1" x14ac:dyDescent="0.3">
      <c r="A24" s="618" t="s">
        <v>403</v>
      </c>
      <c r="B24" s="619"/>
      <c r="C24" s="386">
        <f>SUM(C11:C22)</f>
        <v>30</v>
      </c>
      <c r="D24" s="386">
        <f>SUM(D11:D22)</f>
        <v>29</v>
      </c>
      <c r="E24" s="386">
        <f>SUM(E11:E22)</f>
        <v>1</v>
      </c>
      <c r="F24" s="386"/>
      <c r="G24" s="387"/>
      <c r="H24" s="386">
        <f>SUM(H11:H22)</f>
        <v>21</v>
      </c>
      <c r="I24" s="386">
        <f>SUM(I11:I22)</f>
        <v>105</v>
      </c>
      <c r="J24" s="388"/>
      <c r="K24" s="324"/>
      <c r="L24" s="324"/>
      <c r="M24" s="324"/>
      <c r="N24" s="324"/>
      <c r="O24" s="324"/>
      <c r="P24" s="324"/>
      <c r="Q24" s="324"/>
    </row>
    <row r="25" spans="1:17" x14ac:dyDescent="0.25">
      <c r="A25" s="314"/>
      <c r="B25" s="315"/>
      <c r="C25" s="315"/>
      <c r="D25" s="315"/>
      <c r="E25" s="315"/>
      <c r="F25" s="317"/>
      <c r="G25" s="317"/>
      <c r="H25" s="317"/>
      <c r="I25" s="317"/>
      <c r="J25" s="315"/>
    </row>
    <row r="26" spans="1:17" x14ac:dyDescent="0.25">
      <c r="A26" s="314"/>
      <c r="B26" s="315"/>
      <c r="C26" s="315"/>
      <c r="D26" s="315"/>
      <c r="E26" s="315"/>
      <c r="F26" s="317"/>
      <c r="G26" s="390" t="s">
        <v>404</v>
      </c>
      <c r="H26" s="390">
        <v>1.7</v>
      </c>
      <c r="I26" s="317"/>
      <c r="J26" s="315"/>
    </row>
    <row r="27" spans="1:17" x14ac:dyDescent="0.25">
      <c r="A27" s="314"/>
      <c r="B27" s="315"/>
      <c r="C27" s="315"/>
      <c r="D27" s="315"/>
      <c r="E27" s="315"/>
      <c r="F27" s="317"/>
      <c r="G27" s="390" t="s">
        <v>405</v>
      </c>
      <c r="H27" s="390">
        <f>I24*H26</f>
        <v>178.5</v>
      </c>
      <c r="I27" s="317"/>
      <c r="J27" s="315"/>
    </row>
    <row r="49" spans="10:10" x14ac:dyDescent="0.25">
      <c r="J49" t="s">
        <v>16</v>
      </c>
    </row>
  </sheetData>
  <mergeCells count="12">
    <mergeCell ref="A11:A12"/>
    <mergeCell ref="A14:A16"/>
    <mergeCell ref="A20:A22"/>
    <mergeCell ref="A24:B24"/>
    <mergeCell ref="A3:J3"/>
    <mergeCell ref="A4:J4"/>
    <mergeCell ref="A6:J6"/>
    <mergeCell ref="C9:C10"/>
    <mergeCell ref="F9:F10"/>
    <mergeCell ref="G9:G10"/>
    <mergeCell ref="H9:H10"/>
    <mergeCell ref="I9:I10"/>
  </mergeCells>
  <pageMargins left="0.7" right="0.7" top="0.75" bottom="0.75" header="0.3" footer="0.3"/>
  <pageSetup paperSize="9" scale="5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20"/>
  <sheetViews>
    <sheetView rightToLeft="1" topLeftCell="A13" workbookViewId="0">
      <selection activeCell="E13" sqref="E13"/>
    </sheetView>
  </sheetViews>
  <sheetFormatPr defaultRowHeight="14.25" x14ac:dyDescent="0.2"/>
  <cols>
    <col min="3" max="3" width="16.375" bestFit="1" customWidth="1"/>
    <col min="4" max="4" width="9.875" bestFit="1" customWidth="1"/>
    <col min="5" max="5" width="16.375" bestFit="1" customWidth="1"/>
    <col min="6" max="6" width="8.5" bestFit="1" customWidth="1"/>
    <col min="7" max="7" width="24.5" bestFit="1" customWidth="1"/>
  </cols>
  <sheetData>
    <row r="2" spans="3:7" x14ac:dyDescent="0.2">
      <c r="C2" t="s">
        <v>502</v>
      </c>
      <c r="G2" s="456">
        <v>44948</v>
      </c>
    </row>
    <row r="4" spans="3:7" ht="15" x14ac:dyDescent="0.25">
      <c r="C4" s="457" t="s">
        <v>234</v>
      </c>
      <c r="D4" s="457" t="s">
        <v>503</v>
      </c>
      <c r="E4" s="457" t="s">
        <v>504</v>
      </c>
      <c r="F4" s="457" t="s">
        <v>505</v>
      </c>
      <c r="G4" s="457" t="s">
        <v>11</v>
      </c>
    </row>
    <row r="5" spans="3:7" x14ac:dyDescent="0.2">
      <c r="C5" s="1" t="s">
        <v>39</v>
      </c>
      <c r="D5" s="458">
        <v>12.7</v>
      </c>
      <c r="E5" s="458">
        <v>1</v>
      </c>
      <c r="F5" s="458">
        <f>D5*E5</f>
        <v>12.7</v>
      </c>
      <c r="G5" s="1"/>
    </row>
    <row r="6" spans="3:7" x14ac:dyDescent="0.2">
      <c r="C6" s="1" t="s">
        <v>40</v>
      </c>
      <c r="D6" s="458">
        <v>7.7</v>
      </c>
      <c r="E6" s="458">
        <v>4</v>
      </c>
      <c r="F6" s="458">
        <f>D6*E6</f>
        <v>30.8</v>
      </c>
      <c r="G6" s="1" t="s">
        <v>41</v>
      </c>
    </row>
    <row r="7" spans="3:7" x14ac:dyDescent="0.2">
      <c r="C7" s="1" t="s">
        <v>42</v>
      </c>
      <c r="D7" s="458">
        <v>6.9</v>
      </c>
      <c r="E7" s="458">
        <v>6</v>
      </c>
      <c r="F7" s="458">
        <f t="shared" ref="F7:F18" si="0">D7*E7</f>
        <v>41.400000000000006</v>
      </c>
      <c r="G7" s="1" t="s">
        <v>41</v>
      </c>
    </row>
    <row r="8" spans="3:7" x14ac:dyDescent="0.2">
      <c r="C8" s="1" t="s">
        <v>43</v>
      </c>
      <c r="D8" s="458">
        <v>7.7</v>
      </c>
      <c r="E8" s="458">
        <v>2</v>
      </c>
      <c r="F8" s="458">
        <f t="shared" si="0"/>
        <v>15.4</v>
      </c>
      <c r="G8" s="1" t="s">
        <v>44</v>
      </c>
    </row>
    <row r="9" spans="3:7" x14ac:dyDescent="0.2">
      <c r="C9" s="459" t="s">
        <v>506</v>
      </c>
      <c r="D9" s="458">
        <v>6.9</v>
      </c>
      <c r="E9" s="460">
        <v>2</v>
      </c>
      <c r="F9" s="458">
        <f t="shared" si="0"/>
        <v>13.8</v>
      </c>
      <c r="G9" s="1" t="s">
        <v>44</v>
      </c>
    </row>
    <row r="10" spans="3:7" x14ac:dyDescent="0.2">
      <c r="C10" s="1" t="s">
        <v>45</v>
      </c>
      <c r="D10" s="458">
        <v>15</v>
      </c>
      <c r="E10" s="458">
        <v>2</v>
      </c>
      <c r="F10" s="458">
        <f t="shared" si="0"/>
        <v>30</v>
      </c>
      <c r="G10" s="1"/>
    </row>
    <row r="11" spans="3:7" x14ac:dyDescent="0.2">
      <c r="C11" s="1" t="s">
        <v>46</v>
      </c>
      <c r="D11" s="458">
        <v>90</v>
      </c>
      <c r="E11" s="458">
        <v>1</v>
      </c>
      <c r="F11" s="458">
        <f t="shared" si="0"/>
        <v>90</v>
      </c>
      <c r="G11" s="461"/>
    </row>
    <row r="12" spans="3:7" x14ac:dyDescent="0.2">
      <c r="C12" s="1" t="s">
        <v>47</v>
      </c>
      <c r="D12" s="458">
        <v>25</v>
      </c>
      <c r="E12" s="458">
        <v>2</v>
      </c>
      <c r="F12" s="458">
        <f t="shared" si="0"/>
        <v>50</v>
      </c>
      <c r="G12" s="1"/>
    </row>
    <row r="13" spans="3:7" x14ac:dyDescent="0.2">
      <c r="C13" s="1" t="s">
        <v>507</v>
      </c>
      <c r="D13" s="458">
        <v>9.9</v>
      </c>
      <c r="E13" s="458">
        <v>7</v>
      </c>
      <c r="F13" s="458">
        <f t="shared" si="0"/>
        <v>69.3</v>
      </c>
      <c r="G13" s="1"/>
    </row>
    <row r="14" spans="3:7" x14ac:dyDescent="0.2">
      <c r="C14" s="1" t="s">
        <v>48</v>
      </c>
      <c r="D14" s="458">
        <v>6</v>
      </c>
      <c r="E14" s="458">
        <v>0</v>
      </c>
      <c r="F14" s="458">
        <f t="shared" si="0"/>
        <v>0</v>
      </c>
      <c r="G14" s="1"/>
    </row>
    <row r="15" spans="3:7" x14ac:dyDescent="0.2">
      <c r="C15" s="1" t="s">
        <v>17</v>
      </c>
      <c r="D15" s="458">
        <v>7</v>
      </c>
      <c r="E15" s="458">
        <v>2</v>
      </c>
      <c r="F15" s="458">
        <f t="shared" si="0"/>
        <v>14</v>
      </c>
      <c r="G15" s="1"/>
    </row>
    <row r="16" spans="3:7" x14ac:dyDescent="0.2">
      <c r="C16" s="1" t="s">
        <v>49</v>
      </c>
      <c r="D16" s="458">
        <v>6</v>
      </c>
      <c r="E16" s="458">
        <v>2</v>
      </c>
      <c r="F16" s="458">
        <f t="shared" si="0"/>
        <v>12</v>
      </c>
      <c r="G16" s="1"/>
    </row>
    <row r="17" spans="3:7" x14ac:dyDescent="0.2">
      <c r="C17" s="1" t="s">
        <v>19</v>
      </c>
      <c r="D17" s="458">
        <v>6</v>
      </c>
      <c r="E17" s="458">
        <v>2</v>
      </c>
      <c r="F17" s="458">
        <f t="shared" si="0"/>
        <v>12</v>
      </c>
      <c r="G17" s="1"/>
    </row>
    <row r="18" spans="3:7" x14ac:dyDescent="0.2">
      <c r="C18" s="1" t="s">
        <v>50</v>
      </c>
      <c r="D18" s="458">
        <v>3</v>
      </c>
      <c r="E18" s="458">
        <v>4</v>
      </c>
      <c r="F18" s="458">
        <f t="shared" si="0"/>
        <v>12</v>
      </c>
      <c r="G18" s="462" t="s">
        <v>51</v>
      </c>
    </row>
    <row r="19" spans="3:7" ht="15" x14ac:dyDescent="0.25">
      <c r="C19" s="463" t="s">
        <v>508</v>
      </c>
      <c r="D19" s="463"/>
      <c r="E19" s="463"/>
      <c r="F19" s="463">
        <f>SUM(F5:F18)</f>
        <v>403.40000000000003</v>
      </c>
      <c r="G19" s="463"/>
    </row>
    <row r="20" spans="3:7" ht="15" x14ac:dyDescent="0.25">
      <c r="C20" s="463" t="s">
        <v>509</v>
      </c>
      <c r="D20" s="463"/>
      <c r="E20" s="463"/>
      <c r="F20" s="463">
        <f>F19*1.6</f>
        <v>645.44000000000005</v>
      </c>
      <c r="G20" s="463"/>
    </row>
  </sheetData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rightToLeft="1" topLeftCell="A45" workbookViewId="0">
      <selection activeCell="B58" sqref="B58"/>
    </sheetView>
  </sheetViews>
  <sheetFormatPr defaultRowHeight="14.25" x14ac:dyDescent="0.2"/>
  <cols>
    <col min="1" max="1" width="24" customWidth="1"/>
    <col min="2" max="2" width="8.375" bestFit="1" customWidth="1"/>
    <col min="3" max="3" width="5.875" bestFit="1" customWidth="1"/>
    <col min="4" max="4" width="8.75" bestFit="1" customWidth="1"/>
    <col min="5" max="5" width="26.875" customWidth="1"/>
  </cols>
  <sheetData>
    <row r="1" spans="1:5" ht="18.75" x14ac:dyDescent="0.2">
      <c r="A1" s="464" t="s">
        <v>510</v>
      </c>
      <c r="B1" s="465"/>
      <c r="C1" s="465"/>
      <c r="D1" s="465"/>
      <c r="E1" s="465"/>
    </row>
    <row r="2" spans="1:5" ht="18.75" x14ac:dyDescent="0.2">
      <c r="A2" s="464"/>
      <c r="B2" s="465"/>
      <c r="C2" s="465"/>
      <c r="D2" s="465"/>
      <c r="E2" s="465"/>
    </row>
    <row r="3" spans="1:5" ht="15.75" x14ac:dyDescent="0.2">
      <c r="A3" s="509" t="s">
        <v>511</v>
      </c>
      <c r="B3" s="510"/>
      <c r="C3" s="510"/>
      <c r="D3" s="510"/>
      <c r="E3" s="510"/>
    </row>
    <row r="4" spans="1:5" ht="15.75" x14ac:dyDescent="0.2">
      <c r="A4" s="511"/>
      <c r="B4" s="510"/>
      <c r="C4" s="510"/>
      <c r="D4" s="510"/>
      <c r="E4" s="510"/>
    </row>
    <row r="5" spans="1:5" ht="63" x14ac:dyDescent="0.2">
      <c r="A5" s="469" t="s">
        <v>6</v>
      </c>
      <c r="B5" s="469" t="s">
        <v>512</v>
      </c>
      <c r="C5" s="469" t="s">
        <v>235</v>
      </c>
      <c r="D5" s="469" t="s">
        <v>269</v>
      </c>
      <c r="E5" s="469" t="s">
        <v>11</v>
      </c>
    </row>
    <row r="6" spans="1:5" ht="15.75" x14ac:dyDescent="0.2">
      <c r="A6" s="467" t="s">
        <v>513</v>
      </c>
      <c r="B6" s="467">
        <v>12.7</v>
      </c>
      <c r="C6" s="467">
        <v>1</v>
      </c>
      <c r="D6" s="467">
        <v>12.7</v>
      </c>
      <c r="E6" s="467"/>
    </row>
    <row r="7" spans="1:5" ht="31.5" x14ac:dyDescent="0.2">
      <c r="A7" s="467" t="s">
        <v>514</v>
      </c>
      <c r="B7" s="467">
        <v>11.4</v>
      </c>
      <c r="C7" s="467">
        <v>2</v>
      </c>
      <c r="D7" s="467">
        <v>22.8</v>
      </c>
      <c r="E7" s="467" t="s">
        <v>515</v>
      </c>
    </row>
    <row r="8" spans="1:5" ht="31.5" x14ac:dyDescent="0.2">
      <c r="A8" s="467" t="s">
        <v>516</v>
      </c>
      <c r="B8" s="467">
        <v>11.4</v>
      </c>
      <c r="C8" s="467">
        <v>1</v>
      </c>
      <c r="D8" s="467">
        <v>11.4</v>
      </c>
      <c r="E8" s="467" t="s">
        <v>517</v>
      </c>
    </row>
    <row r="9" spans="1:5" ht="15.75" x14ac:dyDescent="0.2">
      <c r="A9" s="467" t="s">
        <v>518</v>
      </c>
      <c r="B9" s="467">
        <v>9.9</v>
      </c>
      <c r="C9" s="467">
        <v>8</v>
      </c>
      <c r="D9" s="467">
        <v>79.2</v>
      </c>
      <c r="E9" s="467" t="s">
        <v>519</v>
      </c>
    </row>
    <row r="10" spans="1:5" ht="15.75" x14ac:dyDescent="0.2">
      <c r="A10" s="467" t="s">
        <v>520</v>
      </c>
      <c r="B10" s="467">
        <v>11.4</v>
      </c>
      <c r="C10" s="467">
        <v>2</v>
      </c>
      <c r="D10" s="467">
        <v>22.8</v>
      </c>
      <c r="E10" s="467"/>
    </row>
    <row r="11" spans="1:5" ht="15.75" x14ac:dyDescent="0.2">
      <c r="A11" s="467" t="s">
        <v>521</v>
      </c>
      <c r="B11" s="467">
        <v>9.9</v>
      </c>
      <c r="C11" s="467">
        <v>2</v>
      </c>
      <c r="D11" s="467">
        <v>19.8</v>
      </c>
      <c r="E11" s="467"/>
    </row>
    <row r="12" spans="1:5" ht="31.5" x14ac:dyDescent="0.2">
      <c r="A12" s="467" t="s">
        <v>522</v>
      </c>
      <c r="B12" s="467">
        <v>11.4</v>
      </c>
      <c r="C12" s="467">
        <v>1</v>
      </c>
      <c r="D12" s="467">
        <v>11.4</v>
      </c>
      <c r="E12" s="467" t="s">
        <v>517</v>
      </c>
    </row>
    <row r="13" spans="1:5" ht="31.5" x14ac:dyDescent="0.2">
      <c r="A13" s="467" t="s">
        <v>523</v>
      </c>
      <c r="B13" s="467">
        <v>9.9</v>
      </c>
      <c r="C13" s="467">
        <v>2</v>
      </c>
      <c r="D13" s="467">
        <v>19.8</v>
      </c>
      <c r="E13" s="467" t="s">
        <v>524</v>
      </c>
    </row>
    <row r="14" spans="1:5" ht="15.75" x14ac:dyDescent="0.2">
      <c r="A14" s="467" t="s">
        <v>525</v>
      </c>
      <c r="B14" s="467">
        <v>9.9</v>
      </c>
      <c r="C14" s="467">
        <v>1</v>
      </c>
      <c r="D14" s="467">
        <v>9.9</v>
      </c>
      <c r="E14" s="467" t="s">
        <v>526</v>
      </c>
    </row>
    <row r="15" spans="1:5" ht="15.75" x14ac:dyDescent="0.2">
      <c r="A15" s="467" t="s">
        <v>527</v>
      </c>
      <c r="B15" s="467">
        <v>9.9</v>
      </c>
      <c r="C15" s="467">
        <v>2</v>
      </c>
      <c r="D15" s="467">
        <v>19.8</v>
      </c>
      <c r="E15" s="467"/>
    </row>
    <row r="16" spans="1:5" ht="15.75" x14ac:dyDescent="0.2">
      <c r="A16" s="467" t="s">
        <v>528</v>
      </c>
      <c r="B16" s="467">
        <v>4.84</v>
      </c>
      <c r="C16" s="467">
        <v>2</v>
      </c>
      <c r="D16" s="467">
        <v>9.6999999999999993</v>
      </c>
      <c r="E16" s="467"/>
    </row>
    <row r="17" spans="1:5" ht="31.5" x14ac:dyDescent="0.2">
      <c r="A17" s="467" t="s">
        <v>529</v>
      </c>
      <c r="B17" s="467"/>
      <c r="C17" s="467"/>
      <c r="D17" s="467">
        <v>50</v>
      </c>
      <c r="E17" s="469" t="s">
        <v>530</v>
      </c>
    </row>
    <row r="18" spans="1:5" ht="15.75" x14ac:dyDescent="0.2">
      <c r="A18" s="467"/>
      <c r="B18" s="467"/>
      <c r="C18" s="467"/>
      <c r="D18" s="467"/>
      <c r="E18" s="467"/>
    </row>
    <row r="19" spans="1:5" ht="47.25" x14ac:dyDescent="0.2">
      <c r="A19" s="467" t="s">
        <v>531</v>
      </c>
      <c r="B19" s="467">
        <v>14</v>
      </c>
      <c r="C19" s="467"/>
      <c r="D19" s="467">
        <v>14</v>
      </c>
      <c r="E19" s="467" t="s">
        <v>532</v>
      </c>
    </row>
    <row r="20" spans="1:5" ht="47.25" x14ac:dyDescent="0.2">
      <c r="A20" s="467" t="s">
        <v>533</v>
      </c>
      <c r="B20" s="467">
        <v>25</v>
      </c>
      <c r="C20" s="467">
        <v>2</v>
      </c>
      <c r="D20" s="467">
        <v>50</v>
      </c>
      <c r="E20" s="467" t="s">
        <v>534</v>
      </c>
    </row>
    <row r="21" spans="1:5" ht="15.75" x14ac:dyDescent="0.2">
      <c r="A21" s="467" t="s">
        <v>17</v>
      </c>
      <c r="B21" s="467">
        <v>12</v>
      </c>
      <c r="C21" s="467"/>
      <c r="D21" s="467">
        <v>12</v>
      </c>
      <c r="E21" s="467" t="s">
        <v>535</v>
      </c>
    </row>
    <row r="22" spans="1:5" ht="15.75" x14ac:dyDescent="0.2">
      <c r="A22" s="467" t="s">
        <v>536</v>
      </c>
      <c r="B22" s="467">
        <v>15</v>
      </c>
      <c r="C22" s="467"/>
      <c r="D22" s="467">
        <v>15</v>
      </c>
      <c r="E22" s="467" t="s">
        <v>537</v>
      </c>
    </row>
    <row r="23" spans="1:5" ht="31.5" x14ac:dyDescent="0.2">
      <c r="A23" s="467" t="s">
        <v>538</v>
      </c>
      <c r="B23" s="467">
        <v>8</v>
      </c>
      <c r="C23" s="467"/>
      <c r="D23" s="467">
        <v>8</v>
      </c>
      <c r="E23" s="469" t="s">
        <v>539</v>
      </c>
    </row>
    <row r="24" spans="1:5" ht="31.5" x14ac:dyDescent="0.2">
      <c r="A24" s="467" t="s">
        <v>540</v>
      </c>
      <c r="B24" s="467">
        <v>8</v>
      </c>
      <c r="C24" s="467">
        <v>1</v>
      </c>
      <c r="D24" s="467">
        <v>8</v>
      </c>
      <c r="E24" s="467" t="s">
        <v>541</v>
      </c>
    </row>
    <row r="25" spans="1:5" ht="31.5" x14ac:dyDescent="0.2">
      <c r="A25" s="467" t="s">
        <v>542</v>
      </c>
      <c r="B25" s="467">
        <v>20</v>
      </c>
      <c r="C25" s="467">
        <v>1</v>
      </c>
      <c r="D25" s="467">
        <v>20</v>
      </c>
      <c r="E25" s="469" t="s">
        <v>543</v>
      </c>
    </row>
    <row r="26" spans="1:5" ht="18.75" x14ac:dyDescent="0.2">
      <c r="A26" s="468" t="s">
        <v>33</v>
      </c>
      <c r="B26" s="468"/>
      <c r="C26" s="468"/>
      <c r="D26" s="468">
        <v>416.3</v>
      </c>
      <c r="E26" s="468"/>
    </row>
    <row r="27" spans="1:5" ht="15.75" x14ac:dyDescent="0.2">
      <c r="A27" s="512"/>
      <c r="B27" s="510"/>
      <c r="C27" s="510"/>
      <c r="D27" s="510"/>
      <c r="E27" s="510"/>
    </row>
    <row r="28" spans="1:5" ht="15.75" x14ac:dyDescent="0.2">
      <c r="A28" s="509" t="s">
        <v>544</v>
      </c>
      <c r="B28" s="510"/>
      <c r="C28" s="510"/>
      <c r="D28" s="510"/>
      <c r="E28" s="510"/>
    </row>
    <row r="29" spans="1:5" ht="63" x14ac:dyDescent="0.2">
      <c r="A29" s="466" t="s">
        <v>6</v>
      </c>
      <c r="B29" s="466" t="s">
        <v>512</v>
      </c>
      <c r="C29" s="466" t="s">
        <v>235</v>
      </c>
      <c r="D29" s="466" t="s">
        <v>269</v>
      </c>
      <c r="E29" s="466" t="s">
        <v>11</v>
      </c>
    </row>
    <row r="30" spans="1:5" ht="47.25" x14ac:dyDescent="0.2">
      <c r="A30" s="467" t="s">
        <v>545</v>
      </c>
      <c r="B30" s="467">
        <v>9.9</v>
      </c>
      <c r="C30" s="467">
        <v>20</v>
      </c>
      <c r="D30" s="467">
        <v>198</v>
      </c>
      <c r="E30" s="467" t="s">
        <v>546</v>
      </c>
    </row>
    <row r="31" spans="1:5" ht="47.25" x14ac:dyDescent="0.2">
      <c r="A31" s="467" t="s">
        <v>547</v>
      </c>
      <c r="B31" s="467">
        <v>9.9</v>
      </c>
      <c r="C31" s="467">
        <v>5</v>
      </c>
      <c r="D31" s="467">
        <v>49.5</v>
      </c>
      <c r="E31" s="467" t="s">
        <v>548</v>
      </c>
    </row>
    <row r="32" spans="1:5" ht="31.5" x14ac:dyDescent="0.2">
      <c r="A32" s="467" t="s">
        <v>549</v>
      </c>
      <c r="B32" s="467">
        <v>11.4</v>
      </c>
      <c r="C32" s="467">
        <v>4</v>
      </c>
      <c r="D32" s="467">
        <v>45.6</v>
      </c>
      <c r="E32" s="467" t="s">
        <v>550</v>
      </c>
    </row>
    <row r="33" spans="1:5" ht="15.75" x14ac:dyDescent="0.2">
      <c r="A33" s="467" t="s">
        <v>551</v>
      </c>
      <c r="B33" s="467">
        <v>9.9</v>
      </c>
      <c r="C33" s="467">
        <v>2</v>
      </c>
      <c r="D33" s="467">
        <v>19.8</v>
      </c>
      <c r="E33" s="467" t="s">
        <v>552</v>
      </c>
    </row>
    <row r="34" spans="1:5" ht="15.75" x14ac:dyDescent="0.2">
      <c r="A34" s="467" t="s">
        <v>553</v>
      </c>
      <c r="B34" s="467">
        <v>12.7</v>
      </c>
      <c r="C34" s="467">
        <v>1</v>
      </c>
      <c r="D34" s="467">
        <v>12.7</v>
      </c>
      <c r="E34" s="467" t="s">
        <v>552</v>
      </c>
    </row>
    <row r="35" spans="1:5" ht="15.75" x14ac:dyDescent="0.2">
      <c r="A35" s="467" t="s">
        <v>521</v>
      </c>
      <c r="B35" s="467">
        <v>9.9</v>
      </c>
      <c r="C35" s="467">
        <v>2</v>
      </c>
      <c r="D35" s="467">
        <v>19.8</v>
      </c>
      <c r="E35" s="467" t="s">
        <v>552</v>
      </c>
    </row>
    <row r="36" spans="1:5" ht="15.75" x14ac:dyDescent="0.2">
      <c r="A36" s="467" t="s">
        <v>554</v>
      </c>
      <c r="B36" s="467">
        <v>9.9</v>
      </c>
      <c r="C36" s="467">
        <v>1</v>
      </c>
      <c r="D36" s="467">
        <v>9.9</v>
      </c>
      <c r="E36" s="467" t="s">
        <v>552</v>
      </c>
    </row>
    <row r="37" spans="1:5" ht="15.75" x14ac:dyDescent="0.2">
      <c r="A37" s="467" t="s">
        <v>555</v>
      </c>
      <c r="B37" s="467">
        <v>7.7</v>
      </c>
      <c r="C37" s="467">
        <v>2</v>
      </c>
      <c r="D37" s="467">
        <v>15.4</v>
      </c>
      <c r="E37" s="467" t="s">
        <v>556</v>
      </c>
    </row>
    <row r="38" spans="1:5" ht="15.75" x14ac:dyDescent="0.2">
      <c r="A38" s="467" t="s">
        <v>557</v>
      </c>
      <c r="B38" s="467">
        <v>6.8</v>
      </c>
      <c r="C38" s="467">
        <v>2</v>
      </c>
      <c r="D38" s="467">
        <v>13.8</v>
      </c>
      <c r="E38" s="467" t="s">
        <v>558</v>
      </c>
    </row>
    <row r="39" spans="1:5" ht="47.25" x14ac:dyDescent="0.2">
      <c r="A39" s="467" t="s">
        <v>559</v>
      </c>
      <c r="B39" s="467">
        <v>14</v>
      </c>
      <c r="C39" s="467"/>
      <c r="D39" s="467">
        <v>14</v>
      </c>
      <c r="E39" s="467" t="s">
        <v>560</v>
      </c>
    </row>
    <row r="40" spans="1:5" ht="31.5" x14ac:dyDescent="0.2">
      <c r="A40" s="467" t="s">
        <v>533</v>
      </c>
      <c r="B40" s="467">
        <v>25</v>
      </c>
      <c r="C40" s="467">
        <v>3</v>
      </c>
      <c r="D40" s="467">
        <v>75</v>
      </c>
      <c r="E40" s="467" t="s">
        <v>561</v>
      </c>
    </row>
    <row r="41" spans="1:5" ht="15.75" x14ac:dyDescent="0.2">
      <c r="A41" s="467" t="s">
        <v>536</v>
      </c>
      <c r="B41" s="467">
        <v>15</v>
      </c>
      <c r="C41" s="467"/>
      <c r="D41" s="467">
        <v>15</v>
      </c>
      <c r="E41" s="467" t="s">
        <v>562</v>
      </c>
    </row>
    <row r="42" spans="1:5" ht="15.75" x14ac:dyDescent="0.2">
      <c r="A42" s="467" t="s">
        <v>17</v>
      </c>
      <c r="B42" s="467">
        <v>12</v>
      </c>
      <c r="C42" s="467"/>
      <c r="D42" s="467">
        <v>12</v>
      </c>
      <c r="E42" s="467" t="s">
        <v>563</v>
      </c>
    </row>
    <row r="43" spans="1:5" x14ac:dyDescent="0.2">
      <c r="A43" s="624" t="s">
        <v>111</v>
      </c>
      <c r="B43" s="624">
        <v>10</v>
      </c>
      <c r="C43" s="624"/>
      <c r="D43" s="624">
        <v>10</v>
      </c>
      <c r="E43" s="625" t="s">
        <v>564</v>
      </c>
    </row>
    <row r="44" spans="1:5" x14ac:dyDescent="0.2">
      <c r="A44" s="624"/>
      <c r="B44" s="624"/>
      <c r="C44" s="624"/>
      <c r="D44" s="624"/>
      <c r="E44" s="625"/>
    </row>
    <row r="45" spans="1:5" x14ac:dyDescent="0.2">
      <c r="A45" s="624" t="s">
        <v>540</v>
      </c>
      <c r="B45" s="624">
        <v>8</v>
      </c>
      <c r="C45" s="624">
        <v>1</v>
      </c>
      <c r="D45" s="624">
        <v>8</v>
      </c>
      <c r="E45" s="624" t="s">
        <v>565</v>
      </c>
    </row>
    <row r="46" spans="1:5" x14ac:dyDescent="0.2">
      <c r="A46" s="624"/>
      <c r="B46" s="624"/>
      <c r="C46" s="624"/>
      <c r="D46" s="624"/>
      <c r="E46" s="624"/>
    </row>
    <row r="47" spans="1:5" ht="18.75" x14ac:dyDescent="0.2">
      <c r="A47" s="468" t="s">
        <v>33</v>
      </c>
      <c r="B47" s="468"/>
      <c r="C47" s="468"/>
      <c r="D47" s="468">
        <v>518.5</v>
      </c>
      <c r="E47" s="468"/>
    </row>
    <row r="48" spans="1:5" ht="15.75" x14ac:dyDescent="0.2">
      <c r="A48" s="511"/>
      <c r="B48" s="510"/>
      <c r="C48" s="510"/>
      <c r="D48" s="510"/>
      <c r="E48" s="510"/>
    </row>
    <row r="49" spans="1:5" x14ac:dyDescent="0.2">
      <c r="A49" s="1"/>
      <c r="B49" s="1"/>
      <c r="C49" s="1"/>
      <c r="D49" s="1"/>
      <c r="E49" s="1"/>
    </row>
    <row r="50" spans="1:5" x14ac:dyDescent="0.2">
      <c r="A50" s="508" t="s">
        <v>20</v>
      </c>
      <c r="B50" s="508"/>
      <c r="C50" s="508"/>
      <c r="D50" s="508">
        <f>D47+D26</f>
        <v>934.8</v>
      </c>
      <c r="E50" s="508"/>
    </row>
    <row r="51" spans="1:5" ht="15" x14ac:dyDescent="0.25">
      <c r="A51" s="513" t="s">
        <v>21</v>
      </c>
      <c r="B51" s="513"/>
      <c r="C51" s="513">
        <v>1.7</v>
      </c>
      <c r="D51" s="514">
        <f>D50*C51</f>
        <v>1589.1599999999999</v>
      </c>
      <c r="E51" s="513" t="s">
        <v>566</v>
      </c>
    </row>
  </sheetData>
  <mergeCells count="10">
    <mergeCell ref="A45:A46"/>
    <mergeCell ref="B45:B46"/>
    <mergeCell ref="C45:C46"/>
    <mergeCell ref="D45:D46"/>
    <mergeCell ref="E45:E46"/>
    <mergeCell ref="A43:A44"/>
    <mergeCell ref="B43:B44"/>
    <mergeCell ref="C43:C44"/>
    <mergeCell ref="D43:D44"/>
    <mergeCell ref="E43:E4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D1AFE7B28E744C8235ABF392042A98" ma:contentTypeVersion="16" ma:contentTypeDescription="Create a new document." ma:contentTypeScope="" ma:versionID="3f71d724bbc94b7405ed793df4649d85">
  <xsd:schema xmlns:xsd="http://www.w3.org/2001/XMLSchema" xmlns:xs="http://www.w3.org/2001/XMLSchema" xmlns:p="http://schemas.microsoft.com/office/2006/metadata/properties" xmlns:ns2="a3af3541-2d9e-475a-b00c-99320d90a310" xmlns:ns3="66de57b7-cc57-4e95-8777-9109a0275284" xmlns:ns4="6bd09e9d-22ec-41c7-abc3-31a4b93de77c" targetNamespace="http://schemas.microsoft.com/office/2006/metadata/properties" ma:root="true" ma:fieldsID="8300f02210ffc98305a011afffdb47b2" ns2:_="" ns3:_="" ns4:_="">
    <xsd:import namespace="a3af3541-2d9e-475a-b00c-99320d90a310"/>
    <xsd:import namespace="66de57b7-cc57-4e95-8777-9109a0275284"/>
    <xsd:import namespace="6bd09e9d-22ec-41c7-abc3-31a4b93de7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af3541-2d9e-475a-b00c-99320d90a3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a0faf19-31c5-45ee-bcc1-19114bc762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de57b7-cc57-4e95-8777-9109a027528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d09e9d-22ec-41c7-abc3-31a4b93de77c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6d35f5d2-a795-42e6-87e1-1832aac921ef}" ma:internalName="TaxCatchAll" ma:showField="CatchAllData" ma:web="66de57b7-cc57-4e95-8777-9109a02752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af3541-2d9e-475a-b00c-99320d90a310">
      <Terms xmlns="http://schemas.microsoft.com/office/infopath/2007/PartnerControls"/>
    </lcf76f155ced4ddcb4097134ff3c332f>
    <TaxCatchAll xmlns="6bd09e9d-22ec-41c7-abc3-31a4b93de77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0C3326-B052-4E23-8C1D-1221D9E579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af3541-2d9e-475a-b00c-99320d90a310"/>
    <ds:schemaRef ds:uri="66de57b7-cc57-4e95-8777-9109a0275284"/>
    <ds:schemaRef ds:uri="6bd09e9d-22ec-41c7-abc3-31a4b93de7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6C212D-293E-454A-AEF0-A2621FB6C501}">
  <ds:schemaRefs>
    <ds:schemaRef ds:uri="6bd09e9d-22ec-41c7-abc3-31a4b93de77c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a3af3541-2d9e-475a-b00c-99320d90a3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6de57b7-cc57-4e95-8777-9109a0275284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FBF4111-7252-4220-9E94-9025A3830E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14</vt:i4>
      </vt:variant>
      <vt:variant>
        <vt:lpstr>טווחים בעלי שם</vt:lpstr>
      </vt:variant>
      <vt:variant>
        <vt:i4>4</vt:i4>
      </vt:variant>
    </vt:vector>
  </HeadingPairs>
  <TitlesOfParts>
    <vt:vector size="18" baseType="lpstr">
      <vt:lpstr>ריכוז שטחים</vt:lpstr>
      <vt:lpstr>משרד הבריאות - נפה</vt:lpstr>
      <vt:lpstr>משרד המשפטים - טאבו פתח תקווה </vt:lpstr>
      <vt:lpstr>רשות המיסים - מעמ פ"ת </vt:lpstr>
      <vt:lpstr>רשות המיסים - מס הכנסה</vt:lpstr>
      <vt:lpstr>רשות המיסים - מיסוי מקרקעין</vt:lpstr>
      <vt:lpstr>רשות המיסים- מוקד פיצויים</vt:lpstr>
      <vt:lpstr>שרות התעסוקה</vt:lpstr>
      <vt:lpstr>משרד הרווחה</vt:lpstr>
      <vt:lpstr>משרד התחבורה רישוי</vt:lpstr>
      <vt:lpstr>משרד הקליטה</vt:lpstr>
      <vt:lpstr>מתחם מחלקת ביטחון</vt:lpstr>
      <vt:lpstr>שטחים משותפים בניינים</vt:lpstr>
      <vt:lpstr>גיליון1</vt:lpstr>
      <vt:lpstr>'משרד המשפטים - טאבו פתח תקווה '!WPrint_Area_W</vt:lpstr>
      <vt:lpstr>'ריכוז שטחים'!WPrint_Area_W</vt:lpstr>
      <vt:lpstr>'רשות המיסים- מוקד פיצויים'!WPrint_Area_W</vt:lpstr>
      <vt:lpstr>'רשות המיסים - מיסוי מקרקעין'!WPrint_Area_W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Roei Aizzik</dc:creator>
  <cp:lastModifiedBy>אליהו לוי</cp:lastModifiedBy>
  <cp:lastPrinted>2022-05-19T06:08:05Z</cp:lastPrinted>
  <dcterms:created xsi:type="dcterms:W3CDTF">2020-12-23T07:49:52Z</dcterms:created>
  <dcterms:modified xsi:type="dcterms:W3CDTF">2023-05-03T06:11:30Z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0x01010098D1AFE7B28E744C8235ABF392042A98</vt:lpwstr>
  </property>
  <property fmtid="{D5CDD505-2E9C-101B-9397-08002B2CF9AE}" pid="3" name="MediaServiceImageTags">
    <vt:lpwstr/>
  </property>
</Properties>
</file>